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735" tabRatio="60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Details'!$A$1:$H$115</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52511" concurrentCalc="0"/>
</workbook>
</file>

<file path=xl/calcChain.xml><?xml version="1.0" encoding="utf-8"?>
<calcChain xmlns="http://schemas.openxmlformats.org/spreadsheetml/2006/main">
  <c r="C113" i="29" l="1"/>
  <c r="G51" i="57"/>
  <c r="B5" i="72"/>
  <c r="B7" i="81"/>
  <c r="B9" i="81"/>
  <c r="D14" i="81"/>
  <c r="F14" i="81"/>
  <c r="H14" i="81"/>
  <c r="B42" i="81"/>
  <c r="B11" i="55"/>
  <c r="B63" i="55"/>
  <c r="B68" i="55"/>
  <c r="B120" i="55"/>
  <c r="D178" i="55"/>
  <c r="D15" i="81"/>
  <c r="F15" i="81"/>
  <c r="H15" i="81"/>
  <c r="B43" i="81"/>
  <c r="B12" i="55"/>
  <c r="B69" i="55"/>
  <c r="B121" i="55"/>
  <c r="D179" i="55"/>
  <c r="D16" i="81"/>
  <c r="F16" i="81"/>
  <c r="H16" i="81"/>
  <c r="B44" i="81"/>
  <c r="B13" i="55"/>
  <c r="B70" i="55"/>
  <c r="B122" i="55"/>
  <c r="D180" i="55"/>
  <c r="D17" i="81"/>
  <c r="F17" i="81"/>
  <c r="H17" i="81"/>
  <c r="B45" i="81"/>
  <c r="B14" i="55"/>
  <c r="B71" i="55"/>
  <c r="B123" i="55"/>
  <c r="D181" i="55"/>
  <c r="D18" i="81"/>
  <c r="F18" i="81"/>
  <c r="H18" i="81"/>
  <c r="B46" i="81"/>
  <c r="B15" i="55"/>
  <c r="B72" i="55"/>
  <c r="B124" i="55"/>
  <c r="D182" i="55"/>
  <c r="D19" i="81"/>
  <c r="F19" i="81"/>
  <c r="H19" i="81"/>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C23" i="81"/>
  <c r="D24" i="81"/>
  <c r="F24" i="81"/>
  <c r="H24" i="81"/>
  <c r="B51" i="81"/>
  <c r="B20" i="55"/>
  <c r="B77" i="55"/>
  <c r="B129" i="55"/>
  <c r="D187" i="55"/>
  <c r="D25" i="81"/>
  <c r="F25" i="81"/>
  <c r="H25" i="81"/>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D30" i="81"/>
  <c r="F30" i="81"/>
  <c r="H30" i="81"/>
  <c r="B57" i="81"/>
  <c r="B26" i="55"/>
  <c r="B83" i="55"/>
  <c r="B135" i="55"/>
  <c r="D193" i="55"/>
  <c r="D31" i="81"/>
  <c r="F31" i="81"/>
  <c r="H31" i="81"/>
  <c r="B58" i="81"/>
  <c r="B27" i="55"/>
  <c r="B84" i="55"/>
  <c r="B136" i="55"/>
  <c r="D194" i="55"/>
  <c r="C32" i="81"/>
  <c r="D33" i="81"/>
  <c r="F33" i="81"/>
  <c r="H33" i="81"/>
  <c r="B59" i="81"/>
  <c r="B28" i="55"/>
  <c r="B85" i="55"/>
  <c r="B137" i="55"/>
  <c r="D195" i="55"/>
  <c r="D34" i="81"/>
  <c r="F34" i="81"/>
  <c r="H34" i="81"/>
  <c r="B60" i="81"/>
  <c r="B29" i="55"/>
  <c r="B86" i="55"/>
  <c r="B138" i="55"/>
  <c r="D196" i="55"/>
  <c r="D35" i="81"/>
  <c r="F35" i="81"/>
  <c r="H35" i="81"/>
  <c r="B61" i="81"/>
  <c r="B30" i="55"/>
  <c r="B87" i="55"/>
  <c r="B139" i="55"/>
  <c r="D197" i="55"/>
  <c r="D36" i="81"/>
  <c r="F36" i="81"/>
  <c r="H36" i="81"/>
  <c r="B62" i="81"/>
  <c r="B31" i="55"/>
  <c r="B88" i="55"/>
  <c r="B140" i="55"/>
  <c r="D198" i="55"/>
  <c r="B32" i="55"/>
  <c r="B33" i="55"/>
  <c r="B65" i="55"/>
  <c r="D200" i="55"/>
  <c r="B89" i="55"/>
  <c r="B141" i="55"/>
  <c r="D199" i="55"/>
  <c r="B7" i="83"/>
  <c r="B9" i="83"/>
  <c r="D14" i="83"/>
  <c r="F14" i="83"/>
  <c r="H14" i="83"/>
  <c r="B46" i="83"/>
  <c r="B35" i="55"/>
  <c r="B92" i="55"/>
  <c r="B144" i="55"/>
  <c r="D203" i="55"/>
  <c r="D15" i="83"/>
  <c r="F15" i="83"/>
  <c r="H15" i="83"/>
  <c r="B47" i="83"/>
  <c r="B36" i="55"/>
  <c r="B93" i="55"/>
  <c r="B145" i="55"/>
  <c r="D204" i="55"/>
  <c r="D16" i="83"/>
  <c r="F16" i="83"/>
  <c r="H16" i="83"/>
  <c r="B48" i="83"/>
  <c r="B37" i="55"/>
  <c r="B94" i="55"/>
  <c r="B146" i="55"/>
  <c r="D205" i="55"/>
  <c r="D17" i="83"/>
  <c r="F17" i="83"/>
  <c r="H17" i="83"/>
  <c r="B49" i="83"/>
  <c r="B38" i="55"/>
  <c r="B95" i="55"/>
  <c r="B147" i="55"/>
  <c r="D206" i="55"/>
  <c r="D18" i="83"/>
  <c r="F18" i="83"/>
  <c r="H18" i="83"/>
  <c r="B50" i="83"/>
  <c r="B39" i="55"/>
  <c r="B96" i="55"/>
  <c r="B148" i="55"/>
  <c r="D207" i="55"/>
  <c r="D19" i="83"/>
  <c r="F19" i="83"/>
  <c r="H19" i="83"/>
  <c r="B51" i="83"/>
  <c r="B40" i="55"/>
  <c r="B97" i="55"/>
  <c r="B149" i="55"/>
  <c r="D208" i="55"/>
  <c r="D20" i="83"/>
  <c r="F20" i="83"/>
  <c r="H20" i="83"/>
  <c r="B52" i="83"/>
  <c r="B41" i="55"/>
  <c r="B98" i="55"/>
  <c r="B150" i="55"/>
  <c r="D209" i="55"/>
  <c r="D21" i="83"/>
  <c r="F21" i="83"/>
  <c r="H21" i="83"/>
  <c r="B53" i="83"/>
  <c r="B42" i="55"/>
  <c r="B99" i="55"/>
  <c r="B151" i="55"/>
  <c r="D210" i="55"/>
  <c r="D22" i="83"/>
  <c r="F22" i="83"/>
  <c r="H22" i="83"/>
  <c r="B54" i="83"/>
  <c r="B43" i="55"/>
  <c r="B100" i="55"/>
  <c r="B152" i="55"/>
  <c r="D211" i="55"/>
  <c r="C23" i="83"/>
  <c r="D24" i="83"/>
  <c r="F24" i="83"/>
  <c r="H24" i="83"/>
  <c r="B55" i="83"/>
  <c r="B44" i="55"/>
  <c r="B101" i="55"/>
  <c r="B153" i="55"/>
  <c r="D212" i="55"/>
  <c r="D25" i="83"/>
  <c r="F25" i="83"/>
  <c r="H25" i="83"/>
  <c r="B56" i="83"/>
  <c r="B45" i="55"/>
  <c r="B102" i="55"/>
  <c r="B154" i="55"/>
  <c r="D213" i="55"/>
  <c r="D26" i="83"/>
  <c r="F26" i="83"/>
  <c r="H26" i="83"/>
  <c r="B57" i="83"/>
  <c r="B46" i="55"/>
  <c r="B103" i="55"/>
  <c r="B155" i="55"/>
  <c r="D214" i="55"/>
  <c r="D27" i="83"/>
  <c r="F27" i="83"/>
  <c r="H27" i="83"/>
  <c r="B58" i="83"/>
  <c r="B47" i="55"/>
  <c r="B104" i="55"/>
  <c r="B156" i="55"/>
  <c r="D215" i="55"/>
  <c r="D28" i="83"/>
  <c r="F28" i="83"/>
  <c r="H28" i="83"/>
  <c r="B59" i="83"/>
  <c r="B48" i="55"/>
  <c r="B105" i="55"/>
  <c r="B157" i="55"/>
  <c r="D216" i="55"/>
  <c r="D29" i="83"/>
  <c r="F29" i="83"/>
  <c r="H29" i="83"/>
  <c r="B60" i="83"/>
  <c r="B49" i="55"/>
  <c r="B106" i="55"/>
  <c r="B158" i="55"/>
  <c r="D217" i="55"/>
  <c r="D30" i="83"/>
  <c r="F30" i="83"/>
  <c r="H30" i="83"/>
  <c r="B61" i="83"/>
  <c r="B50" i="55"/>
  <c r="B107" i="55"/>
  <c r="B159" i="55"/>
  <c r="D218" i="55"/>
  <c r="D31" i="83"/>
  <c r="F31" i="83"/>
  <c r="H31" i="83"/>
  <c r="B62" i="83"/>
  <c r="B51" i="55"/>
  <c r="B108" i="55"/>
  <c r="B160" i="55"/>
  <c r="D219" i="55"/>
  <c r="C32" i="83"/>
  <c r="D33" i="83"/>
  <c r="F33" i="83"/>
  <c r="H33" i="83"/>
  <c r="B63" i="83"/>
  <c r="B52" i="55"/>
  <c r="B109" i="55"/>
  <c r="B161" i="55"/>
  <c r="D220" i="55"/>
  <c r="B162" i="55"/>
  <c r="D221" i="55"/>
  <c r="B163" i="55"/>
  <c r="D222" i="55"/>
  <c r="B164" i="55"/>
  <c r="D223" i="55"/>
  <c r="D37" i="83"/>
  <c r="F37" i="83"/>
  <c r="H37" i="83"/>
  <c r="B67" i="83"/>
  <c r="B56" i="55"/>
  <c r="B113" i="55"/>
  <c r="B165" i="55"/>
  <c r="D224" i="55"/>
  <c r="D38" i="83"/>
  <c r="F38" i="83"/>
  <c r="H38" i="83"/>
  <c r="B68" i="83"/>
  <c r="B57" i="55"/>
  <c r="B114" i="55"/>
  <c r="B166" i="55"/>
  <c r="D225" i="55"/>
  <c r="D39" i="83"/>
  <c r="F39" i="83"/>
  <c r="H39" i="83"/>
  <c r="B69" i="83"/>
  <c r="B58" i="55"/>
  <c r="B115" i="55"/>
  <c r="B167" i="55"/>
  <c r="D226" i="55"/>
  <c r="D40" i="83"/>
  <c r="F40" i="83"/>
  <c r="H40" i="83"/>
  <c r="B70" i="83"/>
  <c r="B59" i="55"/>
  <c r="B116" i="55"/>
  <c r="B168" i="55"/>
  <c r="D227" i="55"/>
  <c r="D229" i="55"/>
  <c r="B6" i="21"/>
  <c r="G6" i="57"/>
  <c r="G7" i="57"/>
  <c r="G8" i="57"/>
  <c r="G9" i="57"/>
  <c r="G10" i="57"/>
  <c r="G11" i="57"/>
  <c r="G12" i="57"/>
  <c r="D6" i="62"/>
  <c r="F100" i="57"/>
  <c r="F101" i="57"/>
  <c r="F102" i="57"/>
  <c r="F103" i="57"/>
  <c r="D10" i="62"/>
  <c r="G50" i="57"/>
  <c r="G54"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56" i="57"/>
  <c r="G57" i="57"/>
  <c r="G58" i="57"/>
  <c r="G59" i="57"/>
  <c r="G60" i="57"/>
  <c r="G62" i="57"/>
  <c r="D7" i="62"/>
  <c r="F74" i="57"/>
  <c r="F75" i="57"/>
  <c r="F76" i="57"/>
  <c r="F77" i="57"/>
  <c r="F78" i="57"/>
  <c r="F79" i="57"/>
  <c r="F80" i="57"/>
  <c r="D8" i="62"/>
  <c r="F89" i="57"/>
  <c r="F90" i="57"/>
  <c r="F91" i="57"/>
  <c r="F92" i="57"/>
  <c r="D9" i="62"/>
  <c r="E21" i="62"/>
  <c r="D4" i="23"/>
  <c r="D8" i="23"/>
  <c r="F3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E34" i="23"/>
  <c r="C33" i="72"/>
  <c r="C63" i="55"/>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H60" i="57"/>
  <c r="B166" i="84"/>
  <c r="J166" i="84"/>
  <c r="J167" i="84"/>
  <c r="J168" i="84"/>
  <c r="J169" i="84"/>
  <c r="J177"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6" i="84"/>
  <c r="I167" i="84"/>
  <c r="I168" i="84"/>
  <c r="I169" i="84"/>
  <c r="I177"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6" i="84"/>
  <c r="H167" i="84"/>
  <c r="H168" i="84"/>
  <c r="H169" i="84"/>
  <c r="H177"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G168" i="84"/>
  <c r="G169" i="84"/>
  <c r="G177"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F168" i="84"/>
  <c r="F169" i="84"/>
  <c r="F177"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D168" i="84"/>
  <c r="D169" i="84"/>
  <c r="D177"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B92" i="81"/>
  <c r="C90" i="81"/>
  <c r="C92" i="81"/>
  <c r="D90" i="81"/>
  <c r="D92" i="81"/>
  <c r="E90" i="81"/>
  <c r="E92" i="81"/>
  <c r="F90" i="81"/>
  <c r="F92" i="81"/>
  <c r="G90" i="81"/>
  <c r="G92" i="81"/>
  <c r="H90" i="81"/>
  <c r="H92" i="81"/>
  <c r="I9" i="53"/>
  <c r="I62" i="53"/>
  <c r="E124" i="53"/>
  <c r="F124" i="53"/>
  <c r="G124" i="53"/>
  <c r="H124" i="53"/>
  <c r="I124" i="53"/>
  <c r="J124" i="53"/>
  <c r="J130" i="53"/>
  <c r="B93" i="81"/>
  <c r="C93" i="81"/>
  <c r="D93" i="81"/>
  <c r="E93" i="81"/>
  <c r="F93" i="81"/>
  <c r="G93" i="81"/>
  <c r="H93" i="81"/>
  <c r="I10" i="53"/>
  <c r="I63" i="53"/>
  <c r="H10" i="53"/>
  <c r="H63" i="53"/>
  <c r="J131" i="53"/>
  <c r="B94" i="81"/>
  <c r="C94" i="81"/>
  <c r="D94" i="81"/>
  <c r="E94" i="81"/>
  <c r="F94" i="81"/>
  <c r="G94" i="81"/>
  <c r="H94" i="81"/>
  <c r="I11" i="53"/>
  <c r="I64" i="53"/>
  <c r="H11" i="53"/>
  <c r="H64" i="53"/>
  <c r="J132" i="53"/>
  <c r="B95" i="81"/>
  <c r="C95" i="81"/>
  <c r="D95" i="81"/>
  <c r="E95" i="81"/>
  <c r="F95" i="81"/>
  <c r="G95" i="81"/>
  <c r="H95" i="81"/>
  <c r="I12" i="53"/>
  <c r="I65" i="53"/>
  <c r="H12" i="53"/>
  <c r="H65" i="53"/>
  <c r="J133" i="53"/>
  <c r="B96" i="81"/>
  <c r="C96" i="81"/>
  <c r="D96" i="81"/>
  <c r="E96" i="81"/>
  <c r="F96" i="81"/>
  <c r="G96" i="81"/>
  <c r="H96" i="81"/>
  <c r="I13" i="53"/>
  <c r="I66" i="53"/>
  <c r="H13" i="53"/>
  <c r="H66" i="53"/>
  <c r="J134" i="53"/>
  <c r="B97" i="81"/>
  <c r="C97" i="81"/>
  <c r="D97" i="81"/>
  <c r="E97" i="81"/>
  <c r="F97" i="81"/>
  <c r="G97" i="81"/>
  <c r="H97" i="81"/>
  <c r="I14" i="53"/>
  <c r="I67" i="53"/>
  <c r="H14" i="53"/>
  <c r="H67" i="53"/>
  <c r="J135" i="53"/>
  <c r="B98" i="81"/>
  <c r="C98" i="81"/>
  <c r="D98" i="81"/>
  <c r="E98" i="81"/>
  <c r="F98" i="81"/>
  <c r="G98" i="81"/>
  <c r="H98" i="81"/>
  <c r="I15" i="53"/>
  <c r="I68" i="53"/>
  <c r="H15" i="53"/>
  <c r="H68" i="53"/>
  <c r="J136" i="53"/>
  <c r="B99" i="81"/>
  <c r="C99" i="81"/>
  <c r="D99" i="81"/>
  <c r="E99" i="81"/>
  <c r="F99" i="81"/>
  <c r="G99" i="81"/>
  <c r="H99" i="81"/>
  <c r="I16" i="53"/>
  <c r="I69" i="53"/>
  <c r="H16" i="53"/>
  <c r="H69" i="53"/>
  <c r="J137" i="53"/>
  <c r="B101" i="81"/>
  <c r="C101" i="81"/>
  <c r="D101" i="81"/>
  <c r="E101" i="81"/>
  <c r="F101" i="81"/>
  <c r="G101" i="81"/>
  <c r="H101" i="81"/>
  <c r="I18" i="53"/>
  <c r="I71" i="53"/>
  <c r="H18" i="53"/>
  <c r="H71" i="53"/>
  <c r="J139" i="53"/>
  <c r="B102" i="81"/>
  <c r="C102" i="81"/>
  <c r="D102" i="81"/>
  <c r="E102" i="81"/>
  <c r="F102" i="81"/>
  <c r="G102" i="81"/>
  <c r="H102" i="81"/>
  <c r="I19" i="53"/>
  <c r="I72" i="53"/>
  <c r="H19" i="53"/>
  <c r="H72" i="53"/>
  <c r="J140" i="53"/>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B105" i="81"/>
  <c r="C105" i="81"/>
  <c r="D105" i="81"/>
  <c r="E105" i="81"/>
  <c r="F105" i="81"/>
  <c r="G105" i="81"/>
  <c r="H105" i="81"/>
  <c r="I22" i="53"/>
  <c r="I75" i="53"/>
  <c r="H22" i="53"/>
  <c r="H75" i="53"/>
  <c r="J143" i="53"/>
  <c r="B106" i="81"/>
  <c r="C106" i="81"/>
  <c r="D106" i="81"/>
  <c r="E106" i="81"/>
  <c r="F106" i="81"/>
  <c r="G106" i="81"/>
  <c r="H106" i="81"/>
  <c r="I23" i="53"/>
  <c r="I76" i="53"/>
  <c r="H23" i="53"/>
  <c r="H76" i="53"/>
  <c r="J144" i="53"/>
  <c r="B107" i="81"/>
  <c r="C107" i="81"/>
  <c r="D107" i="81"/>
  <c r="E107" i="81"/>
  <c r="F107" i="81"/>
  <c r="G107" i="81"/>
  <c r="H107" i="81"/>
  <c r="I24" i="53"/>
  <c r="I77" i="53"/>
  <c r="H24" i="53"/>
  <c r="H77" i="53"/>
  <c r="J145" i="53"/>
  <c r="B108" i="81"/>
  <c r="C108" i="81"/>
  <c r="D108" i="81"/>
  <c r="E108" i="81"/>
  <c r="F108" i="81"/>
  <c r="G108" i="81"/>
  <c r="H108" i="81"/>
  <c r="I25" i="53"/>
  <c r="I78" i="53"/>
  <c r="H25" i="53"/>
  <c r="H78" i="53"/>
  <c r="J146" i="53"/>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B112" i="81"/>
  <c r="C112" i="81"/>
  <c r="D112" i="81"/>
  <c r="E112" i="81"/>
  <c r="F112" i="81"/>
  <c r="G112" i="81"/>
  <c r="H112" i="81"/>
  <c r="I29" i="53"/>
  <c r="I82" i="53"/>
  <c r="H29" i="53"/>
  <c r="H82" i="53"/>
  <c r="J150"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F182" i="53"/>
  <c r="D115" i="53"/>
  <c r="F183" i="53"/>
  <c r="D116" i="53"/>
  <c r="F184" i="53"/>
  <c r="D118" i="53"/>
  <c r="F187" i="53"/>
  <c r="D119"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14" i="61"/>
  <c r="G5" i="61"/>
  <c r="F259" i="53"/>
  <c r="F260" i="53"/>
  <c r="F262" i="53"/>
  <c r="F265" i="53"/>
  <c r="F266" i="53"/>
  <c r="F267" i="53"/>
  <c r="F268" i="53"/>
  <c r="F273" i="53"/>
  <c r="F274" i="53"/>
  <c r="F276" i="53"/>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C114" i="53"/>
  <c r="E182" i="53"/>
  <c r="C115" i="53"/>
  <c r="E183" i="53"/>
  <c r="C116" i="53"/>
  <c r="E184" i="53"/>
  <c r="C118" i="53"/>
  <c r="E187" i="53"/>
  <c r="C119"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E191" i="53"/>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14" i="61"/>
  <c r="F5" i="61"/>
  <c r="E259" i="53"/>
  <c r="E260" i="53"/>
  <c r="E262" i="53"/>
  <c r="E265" i="53"/>
  <c r="E266" i="53"/>
  <c r="E267" i="53"/>
  <c r="E268" i="53"/>
  <c r="E273" i="53"/>
  <c r="E274" i="53"/>
  <c r="E276" i="53"/>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191" i="53"/>
  <c r="D253" i="53"/>
  <c r="D254" i="53"/>
  <c r="D260" i="53"/>
  <c r="D26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C9" i="42"/>
  <c r="D9" i="42"/>
  <c r="E9" i="42"/>
  <c r="F9" i="42"/>
  <c r="G9" i="42"/>
  <c r="H9" i="42"/>
  <c r="H10" i="42"/>
  <c r="E17"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C10" i="42"/>
  <c r="E21" i="42"/>
  <c r="E23" i="42"/>
  <c r="E27" i="42"/>
  <c r="E28" i="42"/>
  <c r="E29" i="42"/>
  <c r="E34" i="42"/>
  <c r="E37" i="42"/>
  <c r="E43" i="42"/>
  <c r="E45" i="42"/>
  <c r="E47" i="42"/>
  <c r="B10" i="42"/>
  <c r="D21" i="42"/>
  <c r="D23" i="42"/>
  <c r="D27" i="42"/>
  <c r="D28" i="42"/>
  <c r="D29" i="42"/>
  <c r="D34" i="42"/>
  <c r="D37" i="42"/>
  <c r="D43" i="42"/>
  <c r="D45" i="42"/>
  <c r="D47" i="42"/>
  <c r="B77" i="81"/>
  <c r="C65" i="81"/>
  <c r="C77" i="81"/>
  <c r="D65" i="81"/>
  <c r="D77" i="81"/>
  <c r="E65" i="81"/>
  <c r="E77" i="81"/>
  <c r="F65" i="81"/>
  <c r="F77" i="81"/>
  <c r="G65" i="81"/>
  <c r="G77" i="81"/>
  <c r="H65" i="81"/>
  <c r="H77" i="81"/>
  <c r="H23" i="72"/>
  <c r="D33" i="72"/>
  <c r="E33" i="72"/>
  <c r="F33" i="72"/>
  <c r="G33" i="72"/>
  <c r="H33" i="72"/>
  <c r="H34" i="72"/>
  <c r="H47" i="72"/>
  <c r="H95" i="72"/>
  <c r="G23" i="72"/>
  <c r="G34" i="72"/>
  <c r="G47" i="72"/>
  <c r="G95" i="72"/>
  <c r="E133" i="72"/>
  <c r="F133" i="72"/>
  <c r="G133" i="72"/>
  <c r="H133" i="72"/>
  <c r="I133" i="72"/>
  <c r="J133" i="72"/>
  <c r="J139" i="72"/>
  <c r="B68" i="81"/>
  <c r="C68" i="81"/>
  <c r="D68" i="81"/>
  <c r="E68" i="81"/>
  <c r="F68" i="81"/>
  <c r="G68" i="81"/>
  <c r="H68" i="81"/>
  <c r="H14" i="72"/>
  <c r="H38" i="72"/>
  <c r="H63" i="72"/>
  <c r="G14" i="72"/>
  <c r="G38" i="72"/>
  <c r="G63" i="72"/>
  <c r="J140" i="72"/>
  <c r="B72" i="81"/>
  <c r="C72" i="81"/>
  <c r="D72" i="81"/>
  <c r="E72" i="81"/>
  <c r="F72" i="81"/>
  <c r="G72" i="81"/>
  <c r="H72" i="81"/>
  <c r="H18" i="72"/>
  <c r="H42" i="72"/>
  <c r="H78" i="72"/>
  <c r="G18" i="72"/>
  <c r="G42" i="72"/>
  <c r="G78" i="72"/>
  <c r="J141" i="72"/>
  <c r="B70" i="81"/>
  <c r="C70" i="81"/>
  <c r="D70" i="81"/>
  <c r="E70" i="81"/>
  <c r="F70" i="81"/>
  <c r="G70" i="81"/>
  <c r="H70" i="81"/>
  <c r="H16" i="72"/>
  <c r="H40" i="72"/>
  <c r="H70" i="72"/>
  <c r="G16" i="72"/>
  <c r="G40" i="72"/>
  <c r="G70" i="72"/>
  <c r="J142" i="72"/>
  <c r="J147" i="72"/>
  <c r="B67" i="81"/>
  <c r="C67" i="81"/>
  <c r="D67" i="81"/>
  <c r="E67" i="81"/>
  <c r="F67" i="81"/>
  <c r="G67" i="81"/>
  <c r="H67" i="81"/>
  <c r="H13" i="72"/>
  <c r="B69" i="81"/>
  <c r="C69" i="81"/>
  <c r="D69" i="81"/>
  <c r="E69" i="81"/>
  <c r="F69" i="81"/>
  <c r="G69" i="81"/>
  <c r="H69" i="81"/>
  <c r="H15" i="72"/>
  <c r="B71" i="81"/>
  <c r="C71" i="81"/>
  <c r="D71" i="81"/>
  <c r="E71" i="81"/>
  <c r="F71" i="81"/>
  <c r="G71" i="81"/>
  <c r="H71" i="81"/>
  <c r="H17"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9" i="72"/>
  <c r="J151" i="72"/>
  <c r="J155" i="72"/>
  <c r="J156" i="72"/>
  <c r="J157" i="72"/>
  <c r="J158" i="72"/>
  <c r="J159" i="72"/>
  <c r="H12" i="72"/>
  <c r="J160" i="72"/>
  <c r="H47" i="57"/>
  <c r="B161" i="72"/>
  <c r="J161" i="72"/>
  <c r="J162" i="72"/>
  <c r="J163" i="72"/>
  <c r="J164" i="72"/>
  <c r="I155" i="72"/>
  <c r="I156" i="72"/>
  <c r="I157" i="72"/>
  <c r="I158" i="72"/>
  <c r="G13" i="72"/>
  <c r="G15" i="72"/>
  <c r="G17" i="72"/>
  <c r="G19" i="72"/>
  <c r="G20" i="72"/>
  <c r="G21" i="72"/>
  <c r="G22" i="72"/>
  <c r="G24" i="72"/>
  <c r="G25" i="72"/>
  <c r="G26" i="72"/>
  <c r="G27" i="72"/>
  <c r="G28" i="72"/>
  <c r="G29" i="72"/>
  <c r="G30" i="72"/>
  <c r="G31" i="72"/>
  <c r="G32" i="72"/>
  <c r="I159" i="72"/>
  <c r="G12" i="72"/>
  <c r="I160" i="72"/>
  <c r="I161" i="72"/>
  <c r="G35" i="72"/>
  <c r="I162" i="72"/>
  <c r="I163" i="72"/>
  <c r="J16" i="61"/>
  <c r="K7" i="61"/>
  <c r="J169" i="72"/>
  <c r="K16" i="61"/>
  <c r="J170" i="72"/>
  <c r="J172" i="72"/>
  <c r="J175" i="72"/>
  <c r="J180" i="72"/>
  <c r="J181" i="72"/>
  <c r="J183" i="72"/>
  <c r="F23" i="72"/>
  <c r="F34" i="72"/>
  <c r="F47" i="72"/>
  <c r="F95" i="72"/>
  <c r="I139" i="72"/>
  <c r="F14" i="72"/>
  <c r="F38" i="72"/>
  <c r="F63" i="72"/>
  <c r="I140" i="72"/>
  <c r="F18" i="72"/>
  <c r="F42" i="72"/>
  <c r="F78" i="72"/>
  <c r="I141" i="72"/>
  <c r="F16" i="72"/>
  <c r="F40" i="72"/>
  <c r="F70" i="72"/>
  <c r="I142" i="72"/>
  <c r="I147" i="72"/>
  <c r="I149" i="72"/>
  <c r="I151" i="72"/>
  <c r="I164" i="72"/>
  <c r="H155" i="72"/>
  <c r="H156" i="72"/>
  <c r="H157" i="72"/>
  <c r="H158" i="72"/>
  <c r="F13" i="72"/>
  <c r="F15" i="72"/>
  <c r="F17" i="72"/>
  <c r="F19" i="72"/>
  <c r="F20" i="72"/>
  <c r="F21" i="72"/>
  <c r="F22" i="72"/>
  <c r="F24" i="72"/>
  <c r="F25" i="72"/>
  <c r="F26" i="72"/>
  <c r="F27" i="72"/>
  <c r="F28" i="72"/>
  <c r="F29" i="72"/>
  <c r="F30" i="72"/>
  <c r="F31" i="72"/>
  <c r="F32" i="72"/>
  <c r="H159" i="72"/>
  <c r="F12" i="72"/>
  <c r="H160" i="72"/>
  <c r="H161" i="72"/>
  <c r="F35" i="72"/>
  <c r="H162" i="72"/>
  <c r="H163" i="72"/>
  <c r="I16" i="61"/>
  <c r="J7" i="61"/>
  <c r="I169" i="72"/>
  <c r="I170" i="72"/>
  <c r="I172" i="72"/>
  <c r="I175" i="72"/>
  <c r="I180" i="72"/>
  <c r="I181" i="72"/>
  <c r="I183" i="72"/>
  <c r="E23" i="72"/>
  <c r="E34" i="72"/>
  <c r="E47" i="72"/>
  <c r="E95" i="72"/>
  <c r="H139" i="72"/>
  <c r="E14" i="72"/>
  <c r="E38" i="72"/>
  <c r="E63" i="72"/>
  <c r="H140" i="72"/>
  <c r="E18" i="72"/>
  <c r="E42" i="72"/>
  <c r="E78" i="72"/>
  <c r="H141" i="72"/>
  <c r="E16" i="72"/>
  <c r="E40" i="72"/>
  <c r="E70" i="72"/>
  <c r="H142" i="72"/>
  <c r="H147" i="72"/>
  <c r="H149" i="72"/>
  <c r="H151" i="72"/>
  <c r="H164" i="72"/>
  <c r="G155" i="72"/>
  <c r="G156" i="72"/>
  <c r="G157" i="72"/>
  <c r="G158" i="72"/>
  <c r="E13" i="72"/>
  <c r="E15" i="72"/>
  <c r="E17" i="72"/>
  <c r="E19" i="72"/>
  <c r="E20" i="72"/>
  <c r="E21" i="72"/>
  <c r="E22" i="72"/>
  <c r="E24" i="72"/>
  <c r="E25" i="72"/>
  <c r="E26" i="72"/>
  <c r="E27" i="72"/>
  <c r="E28" i="72"/>
  <c r="E29" i="72"/>
  <c r="E30" i="72"/>
  <c r="E31" i="72"/>
  <c r="E32" i="72"/>
  <c r="G159" i="72"/>
  <c r="E12" i="72"/>
  <c r="G160" i="72"/>
  <c r="G161" i="72"/>
  <c r="E35" i="72"/>
  <c r="G162" i="72"/>
  <c r="G163" i="72"/>
  <c r="H16" i="61"/>
  <c r="I7" i="61"/>
  <c r="H169" i="72"/>
  <c r="H170" i="72"/>
  <c r="H172" i="72"/>
  <c r="H175" i="72"/>
  <c r="H180" i="72"/>
  <c r="H181" i="72"/>
  <c r="H183" i="72"/>
  <c r="D23" i="72"/>
  <c r="D34" i="72"/>
  <c r="D47" i="72"/>
  <c r="D95" i="72"/>
  <c r="G139" i="72"/>
  <c r="D14" i="72"/>
  <c r="D38" i="72"/>
  <c r="D63" i="72"/>
  <c r="G140" i="72"/>
  <c r="D18" i="72"/>
  <c r="D42" i="72"/>
  <c r="D78" i="72"/>
  <c r="G141" i="72"/>
  <c r="D16" i="72"/>
  <c r="D40" i="72"/>
  <c r="D70" i="72"/>
  <c r="G142" i="72"/>
  <c r="G147" i="72"/>
  <c r="G149" i="72"/>
  <c r="G151" i="72"/>
  <c r="G164" i="72"/>
  <c r="F155" i="72"/>
  <c r="F156" i="72"/>
  <c r="F157" i="72"/>
  <c r="F158" i="72"/>
  <c r="D13" i="72"/>
  <c r="D15" i="72"/>
  <c r="D17" i="72"/>
  <c r="D19" i="72"/>
  <c r="D20" i="72"/>
  <c r="D21" i="72"/>
  <c r="D22" i="72"/>
  <c r="D24" i="72"/>
  <c r="D25" i="72"/>
  <c r="D26" i="72"/>
  <c r="D27" i="72"/>
  <c r="D28" i="72"/>
  <c r="D29" i="72"/>
  <c r="D30" i="72"/>
  <c r="D31" i="72"/>
  <c r="D32" i="72"/>
  <c r="F159" i="72"/>
  <c r="D12" i="72"/>
  <c r="F160" i="72"/>
  <c r="F161" i="72"/>
  <c r="D35" i="72"/>
  <c r="F162" i="72"/>
  <c r="F163" i="72"/>
  <c r="G16" i="61"/>
  <c r="H7" i="61"/>
  <c r="G169" i="72"/>
  <c r="G170" i="72"/>
  <c r="G172" i="72"/>
  <c r="G175" i="72"/>
  <c r="G180" i="72"/>
  <c r="G181" i="72"/>
  <c r="G183" i="72"/>
  <c r="C23" i="72"/>
  <c r="C34" i="72"/>
  <c r="C47" i="72"/>
  <c r="C95" i="72"/>
  <c r="F139" i="72"/>
  <c r="C14" i="72"/>
  <c r="C38" i="72"/>
  <c r="C63" i="72"/>
  <c r="F140" i="72"/>
  <c r="C18" i="72"/>
  <c r="C42" i="72"/>
  <c r="C78" i="72"/>
  <c r="F141" i="72"/>
  <c r="C16" i="72"/>
  <c r="C40" i="72"/>
  <c r="C70" i="72"/>
  <c r="F142" i="72"/>
  <c r="F147" i="72"/>
  <c r="F149" i="72"/>
  <c r="F151" i="72"/>
  <c r="F164" i="72"/>
  <c r="E155" i="72"/>
  <c r="E156" i="72"/>
  <c r="E157" i="72"/>
  <c r="E158" i="72"/>
  <c r="C13" i="72"/>
  <c r="C15" i="72"/>
  <c r="C17" i="72"/>
  <c r="C19" i="72"/>
  <c r="C20" i="72"/>
  <c r="C21" i="72"/>
  <c r="C22" i="72"/>
  <c r="C24" i="72"/>
  <c r="C25" i="72"/>
  <c r="C26" i="72"/>
  <c r="C27" i="72"/>
  <c r="C28" i="72"/>
  <c r="C29" i="72"/>
  <c r="C30" i="72"/>
  <c r="C31" i="72"/>
  <c r="C32" i="72"/>
  <c r="E159" i="72"/>
  <c r="C12" i="72"/>
  <c r="E160" i="72"/>
  <c r="E161" i="72"/>
  <c r="C35" i="72"/>
  <c r="E162" i="72"/>
  <c r="E163" i="72"/>
  <c r="F16" i="61"/>
  <c r="G7" i="61"/>
  <c r="F169" i="72"/>
  <c r="F170" i="72"/>
  <c r="F172" i="72"/>
  <c r="F175" i="72"/>
  <c r="F180" i="72"/>
  <c r="F181" i="72"/>
  <c r="F183" i="72"/>
  <c r="B23" i="72"/>
  <c r="B34" i="72"/>
  <c r="B47" i="72"/>
  <c r="B95" i="72"/>
  <c r="E139" i="72"/>
  <c r="B14" i="72"/>
  <c r="B38" i="72"/>
  <c r="B63" i="72"/>
  <c r="E140" i="72"/>
  <c r="B18" i="72"/>
  <c r="B42" i="72"/>
  <c r="B78" i="72"/>
  <c r="E141" i="72"/>
  <c r="B16" i="72"/>
  <c r="B40" i="72"/>
  <c r="B70" i="72"/>
  <c r="E142" i="72"/>
  <c r="E147" i="72"/>
  <c r="E149" i="72"/>
  <c r="E151" i="72"/>
  <c r="E164" i="72"/>
  <c r="D155" i="72"/>
  <c r="D156" i="72"/>
  <c r="D157" i="72"/>
  <c r="D158" i="72"/>
  <c r="B13" i="72"/>
  <c r="B15" i="72"/>
  <c r="B17" i="72"/>
  <c r="B19" i="72"/>
  <c r="B20" i="72"/>
  <c r="B21" i="72"/>
  <c r="B22" i="72"/>
  <c r="B24" i="72"/>
  <c r="B25" i="72"/>
  <c r="B26" i="72"/>
  <c r="B27" i="72"/>
  <c r="B28" i="72"/>
  <c r="B29" i="72"/>
  <c r="B30" i="72"/>
  <c r="B31" i="72"/>
  <c r="B32" i="72"/>
  <c r="D159" i="72"/>
  <c r="B12" i="72"/>
  <c r="D160" i="72"/>
  <c r="D161" i="72"/>
  <c r="B35" i="72"/>
  <c r="D162" i="72"/>
  <c r="D163" i="72"/>
  <c r="E16" i="61"/>
  <c r="F7" i="61"/>
  <c r="E169" i="72"/>
  <c r="E170" i="72"/>
  <c r="E172" i="72"/>
  <c r="E175" i="72"/>
  <c r="E180" i="72"/>
  <c r="E181" i="72"/>
  <c r="E183" i="72"/>
  <c r="D139" i="72"/>
  <c r="D140" i="72"/>
  <c r="D141" i="72"/>
  <c r="D142" i="72"/>
  <c r="D147" i="72"/>
  <c r="D149" i="72"/>
  <c r="D151" i="72"/>
  <c r="D164" i="72"/>
  <c r="D170" i="72"/>
  <c r="D172"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H11" i="55"/>
  <c r="H63" i="55"/>
  <c r="H68" i="55"/>
  <c r="H120" i="55"/>
  <c r="G11" i="55"/>
  <c r="G63" i="55"/>
  <c r="G68" i="55"/>
  <c r="G120" i="55"/>
  <c r="E172" i="55"/>
  <c r="F172" i="55"/>
  <c r="G172" i="55"/>
  <c r="H172" i="55"/>
  <c r="I172" i="55"/>
  <c r="J172" i="55"/>
  <c r="J178" i="55"/>
  <c r="C43" i="81"/>
  <c r="D43" i="81"/>
  <c r="E43" i="81"/>
  <c r="F43" i="81"/>
  <c r="G43" i="81"/>
  <c r="H43" i="81"/>
  <c r="H12" i="55"/>
  <c r="H69" i="55"/>
  <c r="H121" i="55"/>
  <c r="G12" i="55"/>
  <c r="G69" i="55"/>
  <c r="G121" i="55"/>
  <c r="J179" i="55"/>
  <c r="C44" i="81"/>
  <c r="D44" i="81"/>
  <c r="E44" i="81"/>
  <c r="F44" i="81"/>
  <c r="G44" i="81"/>
  <c r="H44" i="81"/>
  <c r="H13" i="55"/>
  <c r="H70" i="55"/>
  <c r="H122" i="55"/>
  <c r="G13" i="55"/>
  <c r="G70" i="55"/>
  <c r="G122" i="55"/>
  <c r="J180" i="55"/>
  <c r="C45" i="81"/>
  <c r="D45" i="81"/>
  <c r="E45" i="81"/>
  <c r="F45" i="81"/>
  <c r="G45" i="81"/>
  <c r="H45" i="81"/>
  <c r="H14" i="55"/>
  <c r="H71" i="55"/>
  <c r="H123" i="55"/>
  <c r="G14" i="55"/>
  <c r="G71" i="55"/>
  <c r="G123" i="55"/>
  <c r="J181" i="55"/>
  <c r="C46" i="81"/>
  <c r="D46" i="81"/>
  <c r="E46" i="81"/>
  <c r="F46" i="81"/>
  <c r="G46" i="81"/>
  <c r="H46" i="81"/>
  <c r="H15" i="55"/>
  <c r="H72" i="55"/>
  <c r="H124" i="55"/>
  <c r="G15" i="55"/>
  <c r="G72" i="55"/>
  <c r="G124" i="55"/>
  <c r="J182" i="55"/>
  <c r="C47" i="81"/>
  <c r="D47" i="81"/>
  <c r="E47" i="81"/>
  <c r="F47" i="81"/>
  <c r="G47" i="81"/>
  <c r="H47" i="81"/>
  <c r="H16" i="55"/>
  <c r="H73" i="55"/>
  <c r="H125" i="55"/>
  <c r="G16" i="55"/>
  <c r="G73" i="55"/>
  <c r="G125" i="55"/>
  <c r="J183" i="55"/>
  <c r="C48" i="81"/>
  <c r="D48" i="81"/>
  <c r="E48" i="81"/>
  <c r="F48" i="81"/>
  <c r="G48" i="81"/>
  <c r="H48" i="81"/>
  <c r="H17" i="55"/>
  <c r="H74" i="55"/>
  <c r="H126" i="55"/>
  <c r="G17" i="55"/>
  <c r="G74" i="55"/>
  <c r="G126" i="55"/>
  <c r="J184" i="55"/>
  <c r="C49" i="81"/>
  <c r="D49" i="81"/>
  <c r="E49" i="81"/>
  <c r="F49" i="81"/>
  <c r="G49" i="81"/>
  <c r="H49" i="81"/>
  <c r="H18" i="55"/>
  <c r="H75" i="55"/>
  <c r="H127" i="55"/>
  <c r="G18" i="55"/>
  <c r="G75" i="55"/>
  <c r="G127" i="55"/>
  <c r="J185" i="55"/>
  <c r="C50" i="81"/>
  <c r="D50" i="81"/>
  <c r="E50" i="81"/>
  <c r="F50" i="81"/>
  <c r="G50" i="81"/>
  <c r="H50" i="81"/>
  <c r="H19" i="55"/>
  <c r="H76" i="55"/>
  <c r="H128" i="55"/>
  <c r="G19" i="55"/>
  <c r="G76" i="55"/>
  <c r="G128" i="55"/>
  <c r="J186" i="55"/>
  <c r="C51" i="81"/>
  <c r="D51" i="81"/>
  <c r="E51" i="81"/>
  <c r="F51" i="81"/>
  <c r="G51" i="81"/>
  <c r="H51" i="81"/>
  <c r="H20" i="55"/>
  <c r="H77" i="55"/>
  <c r="H129" i="55"/>
  <c r="G20" i="55"/>
  <c r="G77" i="55"/>
  <c r="G129" i="55"/>
  <c r="J187" i="55"/>
  <c r="C52" i="81"/>
  <c r="D52" i="81"/>
  <c r="E52" i="81"/>
  <c r="F52" i="81"/>
  <c r="G52" i="81"/>
  <c r="H52" i="81"/>
  <c r="H21" i="55"/>
  <c r="H78" i="55"/>
  <c r="H130" i="55"/>
  <c r="G21" i="55"/>
  <c r="G78" i="55"/>
  <c r="G130" i="55"/>
  <c r="J188" i="55"/>
  <c r="C53" i="81"/>
  <c r="D53" i="81"/>
  <c r="E53" i="81"/>
  <c r="F53" i="81"/>
  <c r="G53" i="81"/>
  <c r="H53" i="81"/>
  <c r="H22" i="55"/>
  <c r="H79" i="55"/>
  <c r="H131" i="55"/>
  <c r="G22" i="55"/>
  <c r="G79" i="55"/>
  <c r="G131" i="55"/>
  <c r="J189" i="55"/>
  <c r="C54" i="81"/>
  <c r="D54" i="81"/>
  <c r="E54" i="81"/>
  <c r="F54" i="81"/>
  <c r="G54" i="81"/>
  <c r="H54" i="81"/>
  <c r="H23" i="55"/>
  <c r="H80" i="55"/>
  <c r="H132" i="55"/>
  <c r="G23" i="55"/>
  <c r="G80" i="55"/>
  <c r="G132" i="55"/>
  <c r="J190" i="55"/>
  <c r="C55" i="81"/>
  <c r="D55" i="81"/>
  <c r="E55" i="81"/>
  <c r="F55" i="81"/>
  <c r="G55" i="81"/>
  <c r="H55" i="81"/>
  <c r="H24" i="55"/>
  <c r="H81" i="55"/>
  <c r="H133" i="55"/>
  <c r="G24" i="55"/>
  <c r="G81" i="55"/>
  <c r="G133" i="55"/>
  <c r="J191" i="55"/>
  <c r="C56" i="81"/>
  <c r="D56" i="81"/>
  <c r="E56" i="81"/>
  <c r="F56" i="81"/>
  <c r="G56" i="81"/>
  <c r="H56" i="81"/>
  <c r="H25" i="55"/>
  <c r="H82" i="55"/>
  <c r="H134" i="55"/>
  <c r="G25" i="55"/>
  <c r="G82" i="55"/>
  <c r="G134" i="55"/>
  <c r="J192" i="55"/>
  <c r="C57" i="81"/>
  <c r="D57" i="81"/>
  <c r="E57" i="81"/>
  <c r="F57" i="81"/>
  <c r="G57" i="81"/>
  <c r="H57" i="81"/>
  <c r="H26" i="55"/>
  <c r="H83" i="55"/>
  <c r="H135" i="55"/>
  <c r="G26" i="55"/>
  <c r="G83" i="55"/>
  <c r="G135" i="55"/>
  <c r="J193" i="55"/>
  <c r="C58" i="81"/>
  <c r="D58" i="81"/>
  <c r="E58" i="81"/>
  <c r="F58" i="81"/>
  <c r="G58" i="81"/>
  <c r="H58" i="81"/>
  <c r="H27" i="55"/>
  <c r="H84" i="55"/>
  <c r="H136" i="55"/>
  <c r="G27" i="55"/>
  <c r="G84" i="55"/>
  <c r="G136" i="55"/>
  <c r="J194" i="55"/>
  <c r="C59" i="81"/>
  <c r="D59" i="81"/>
  <c r="E59" i="81"/>
  <c r="F59" i="81"/>
  <c r="G59" i="81"/>
  <c r="H59" i="81"/>
  <c r="H28" i="55"/>
  <c r="H85" i="55"/>
  <c r="H137" i="55"/>
  <c r="G28" i="55"/>
  <c r="G85" i="55"/>
  <c r="G137" i="55"/>
  <c r="J195" i="55"/>
  <c r="C60" i="81"/>
  <c r="D60" i="81"/>
  <c r="E60" i="81"/>
  <c r="F60" i="81"/>
  <c r="G60" i="81"/>
  <c r="H60" i="81"/>
  <c r="H29" i="55"/>
  <c r="H86" i="55"/>
  <c r="H138" i="55"/>
  <c r="G29" i="55"/>
  <c r="G86" i="55"/>
  <c r="G138" i="55"/>
  <c r="J196" i="55"/>
  <c r="C61" i="81"/>
  <c r="D61" i="81"/>
  <c r="E61" i="81"/>
  <c r="F61" i="81"/>
  <c r="G61" i="81"/>
  <c r="H61" i="81"/>
  <c r="H30" i="55"/>
  <c r="H87" i="55"/>
  <c r="H139" i="55"/>
  <c r="G30" i="55"/>
  <c r="G87" i="55"/>
  <c r="G139" i="55"/>
  <c r="J197" i="55"/>
  <c r="C62" i="81"/>
  <c r="D62" i="81"/>
  <c r="E62" i="81"/>
  <c r="F62" i="81"/>
  <c r="G62" i="81"/>
  <c r="H62" i="81"/>
  <c r="H31" i="55"/>
  <c r="H88" i="55"/>
  <c r="H140" i="55"/>
  <c r="G31" i="55"/>
  <c r="G88" i="55"/>
  <c r="G140" i="55"/>
  <c r="J198" i="55"/>
  <c r="H32" i="55"/>
  <c r="H33" i="55"/>
  <c r="H65" i="55"/>
  <c r="J200" i="55"/>
  <c r="C44" i="83"/>
  <c r="C46" i="83"/>
  <c r="D44" i="83"/>
  <c r="D46" i="83"/>
  <c r="E44" i="83"/>
  <c r="E46" i="83"/>
  <c r="F44" i="83"/>
  <c r="F46" i="83"/>
  <c r="G44" i="83"/>
  <c r="G46" i="83"/>
  <c r="H44" i="83"/>
  <c r="H46" i="83"/>
  <c r="H35" i="55"/>
  <c r="H92" i="55"/>
  <c r="H144" i="55"/>
  <c r="G35" i="55"/>
  <c r="G92" i="55"/>
  <c r="G144" i="55"/>
  <c r="J203" i="55"/>
  <c r="C47" i="83"/>
  <c r="D47" i="83"/>
  <c r="E47" i="83"/>
  <c r="F47" i="83"/>
  <c r="G47" i="83"/>
  <c r="H47" i="83"/>
  <c r="H36" i="55"/>
  <c r="H93" i="55"/>
  <c r="H145" i="55"/>
  <c r="G36" i="55"/>
  <c r="G93" i="55"/>
  <c r="G145" i="55"/>
  <c r="J204" i="55"/>
  <c r="C48" i="83"/>
  <c r="D48" i="83"/>
  <c r="E48" i="83"/>
  <c r="F48" i="83"/>
  <c r="G48" i="83"/>
  <c r="H48" i="83"/>
  <c r="H37" i="55"/>
  <c r="H94" i="55"/>
  <c r="H146" i="55"/>
  <c r="G37" i="55"/>
  <c r="G94" i="55"/>
  <c r="G146" i="55"/>
  <c r="J205" i="55"/>
  <c r="C49" i="83"/>
  <c r="D49" i="83"/>
  <c r="E49" i="83"/>
  <c r="F49" i="83"/>
  <c r="G49" i="83"/>
  <c r="H49" i="83"/>
  <c r="H38" i="55"/>
  <c r="H95" i="55"/>
  <c r="H147" i="55"/>
  <c r="G38" i="55"/>
  <c r="G95" i="55"/>
  <c r="G147" i="55"/>
  <c r="J206" i="55"/>
  <c r="C50" i="83"/>
  <c r="D50" i="83"/>
  <c r="E50" i="83"/>
  <c r="F50" i="83"/>
  <c r="G50" i="83"/>
  <c r="H50" i="83"/>
  <c r="H39" i="55"/>
  <c r="H96" i="55"/>
  <c r="H148" i="55"/>
  <c r="G39" i="55"/>
  <c r="G96" i="55"/>
  <c r="G148" i="55"/>
  <c r="J207" i="55"/>
  <c r="C51" i="83"/>
  <c r="D51" i="83"/>
  <c r="E51" i="83"/>
  <c r="F51" i="83"/>
  <c r="G51" i="83"/>
  <c r="H51" i="83"/>
  <c r="H40" i="55"/>
  <c r="H97" i="55"/>
  <c r="H149" i="55"/>
  <c r="G40" i="55"/>
  <c r="G97" i="55"/>
  <c r="G149" i="55"/>
  <c r="J208" i="55"/>
  <c r="C52" i="83"/>
  <c r="D52" i="83"/>
  <c r="E52" i="83"/>
  <c r="F52" i="83"/>
  <c r="G52" i="83"/>
  <c r="H52" i="83"/>
  <c r="H41" i="55"/>
  <c r="H98" i="55"/>
  <c r="H150" i="55"/>
  <c r="G41" i="55"/>
  <c r="G98" i="55"/>
  <c r="G150" i="55"/>
  <c r="J209" i="55"/>
  <c r="C53" i="83"/>
  <c r="D53" i="83"/>
  <c r="E53" i="83"/>
  <c r="F53" i="83"/>
  <c r="G53" i="83"/>
  <c r="H53" i="83"/>
  <c r="H42" i="55"/>
  <c r="H99" i="55"/>
  <c r="H151" i="55"/>
  <c r="G42" i="55"/>
  <c r="G99" i="55"/>
  <c r="G151" i="55"/>
  <c r="J210" i="55"/>
  <c r="C54" i="83"/>
  <c r="D54" i="83"/>
  <c r="E54" i="83"/>
  <c r="F54" i="83"/>
  <c r="G54" i="83"/>
  <c r="H54" i="83"/>
  <c r="H43" i="55"/>
  <c r="H100" i="55"/>
  <c r="H152" i="55"/>
  <c r="G43" i="55"/>
  <c r="G100" i="55"/>
  <c r="G152" i="55"/>
  <c r="J211" i="55"/>
  <c r="C55" i="83"/>
  <c r="D55" i="83"/>
  <c r="E55" i="83"/>
  <c r="F55" i="83"/>
  <c r="G55" i="83"/>
  <c r="H55" i="83"/>
  <c r="H44" i="55"/>
  <c r="H101" i="55"/>
  <c r="H153" i="55"/>
  <c r="G44" i="55"/>
  <c r="G101" i="55"/>
  <c r="G153" i="55"/>
  <c r="J212" i="55"/>
  <c r="C56" i="83"/>
  <c r="D56" i="83"/>
  <c r="E56" i="83"/>
  <c r="F56" i="83"/>
  <c r="G56" i="83"/>
  <c r="H56" i="83"/>
  <c r="H45" i="55"/>
  <c r="H102" i="55"/>
  <c r="H154" i="55"/>
  <c r="G45" i="55"/>
  <c r="G102" i="55"/>
  <c r="G154" i="55"/>
  <c r="J213" i="55"/>
  <c r="C57" i="83"/>
  <c r="D57" i="83"/>
  <c r="E57" i="83"/>
  <c r="F57" i="83"/>
  <c r="G57" i="83"/>
  <c r="H57" i="83"/>
  <c r="H46" i="55"/>
  <c r="H103" i="55"/>
  <c r="H155" i="55"/>
  <c r="G46" i="55"/>
  <c r="G103" i="55"/>
  <c r="G155" i="55"/>
  <c r="J214" i="55"/>
  <c r="C58" i="83"/>
  <c r="D58" i="83"/>
  <c r="E58" i="83"/>
  <c r="F58" i="83"/>
  <c r="G58" i="83"/>
  <c r="H58" i="83"/>
  <c r="H47" i="55"/>
  <c r="H104" i="55"/>
  <c r="H156" i="55"/>
  <c r="G47" i="55"/>
  <c r="G104" i="55"/>
  <c r="G156" i="55"/>
  <c r="J215" i="55"/>
  <c r="C59" i="83"/>
  <c r="D59" i="83"/>
  <c r="E59" i="83"/>
  <c r="F59" i="83"/>
  <c r="G59" i="83"/>
  <c r="H59" i="83"/>
  <c r="H48" i="55"/>
  <c r="H105" i="55"/>
  <c r="H157" i="55"/>
  <c r="G48" i="55"/>
  <c r="G105" i="55"/>
  <c r="G157" i="55"/>
  <c r="J216" i="55"/>
  <c r="C60" i="83"/>
  <c r="D60" i="83"/>
  <c r="E60" i="83"/>
  <c r="F60" i="83"/>
  <c r="G60" i="83"/>
  <c r="H60" i="83"/>
  <c r="H49" i="55"/>
  <c r="H106" i="55"/>
  <c r="H158" i="55"/>
  <c r="G49" i="55"/>
  <c r="G106" i="55"/>
  <c r="G158" i="55"/>
  <c r="J217" i="55"/>
  <c r="C61" i="83"/>
  <c r="D61" i="83"/>
  <c r="E61" i="83"/>
  <c r="F61" i="83"/>
  <c r="G61" i="83"/>
  <c r="H61" i="83"/>
  <c r="H50" i="55"/>
  <c r="H107" i="55"/>
  <c r="H159" i="55"/>
  <c r="G50" i="55"/>
  <c r="G107" i="55"/>
  <c r="G159" i="55"/>
  <c r="J218" i="55"/>
  <c r="C62" i="83"/>
  <c r="D62" i="83"/>
  <c r="E62" i="83"/>
  <c r="F62" i="83"/>
  <c r="G62" i="83"/>
  <c r="H62" i="83"/>
  <c r="H51" i="55"/>
  <c r="H108" i="55"/>
  <c r="H160" i="55"/>
  <c r="G51" i="55"/>
  <c r="G108" i="55"/>
  <c r="G160" i="55"/>
  <c r="J219" i="55"/>
  <c r="C63" i="83"/>
  <c r="D63" i="83"/>
  <c r="E63" i="83"/>
  <c r="F63" i="83"/>
  <c r="G63" i="83"/>
  <c r="H63" i="83"/>
  <c r="H52" i="55"/>
  <c r="H109" i="55"/>
  <c r="H161" i="55"/>
  <c r="G52" i="55"/>
  <c r="G109" i="55"/>
  <c r="G161" i="55"/>
  <c r="J220" i="55"/>
  <c r="C67" i="83"/>
  <c r="D67" i="83"/>
  <c r="E67" i="83"/>
  <c r="F67" i="83"/>
  <c r="G67" i="83"/>
  <c r="H67" i="83"/>
  <c r="H56" i="55"/>
  <c r="H113" i="55"/>
  <c r="H165" i="55"/>
  <c r="G56" i="55"/>
  <c r="G113" i="55"/>
  <c r="G165" i="55"/>
  <c r="J224" i="55"/>
  <c r="C68" i="83"/>
  <c r="D68" i="83"/>
  <c r="E68" i="83"/>
  <c r="F68" i="83"/>
  <c r="G68" i="83"/>
  <c r="H68" i="83"/>
  <c r="H57" i="55"/>
  <c r="H114" i="55"/>
  <c r="H166" i="55"/>
  <c r="G57" i="55"/>
  <c r="G114" i="55"/>
  <c r="G166" i="55"/>
  <c r="J225" i="55"/>
  <c r="C69" i="83"/>
  <c r="D69" i="83"/>
  <c r="E69" i="83"/>
  <c r="F69" i="83"/>
  <c r="G69" i="83"/>
  <c r="H69" i="83"/>
  <c r="H58" i="55"/>
  <c r="H115" i="55"/>
  <c r="H167" i="55"/>
  <c r="G58" i="55"/>
  <c r="G115" i="55"/>
  <c r="G167" i="55"/>
  <c r="J226" i="55"/>
  <c r="C70" i="83"/>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C240" i="55"/>
  <c r="J240" i="55"/>
  <c r="J241" i="55"/>
  <c r="C242" i="55"/>
  <c r="J242" i="55"/>
  <c r="J243" i="55"/>
  <c r="J244" i="55"/>
  <c r="J245" i="55"/>
  <c r="J246" i="55"/>
  <c r="J247" i="55"/>
  <c r="J248" i="55"/>
  <c r="J249" i="55"/>
  <c r="J250" i="55"/>
  <c r="J251" i="55"/>
  <c r="J252" i="55"/>
  <c r="J253" i="55"/>
  <c r="H10" i="55"/>
  <c r="J282" i="55"/>
  <c r="H54" i="57"/>
  <c r="B283" i="55"/>
  <c r="J283"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C257" i="55"/>
  <c r="I257" i="55"/>
  <c r="C258" i="55"/>
  <c r="I258" i="55"/>
  <c r="I259" i="55"/>
  <c r="C260" i="55"/>
  <c r="I260" i="55"/>
  <c r="C261" i="55"/>
  <c r="I261" i="55"/>
  <c r="I262" i="55"/>
  <c r="I263" i="55"/>
  <c r="I264" i="55"/>
  <c r="I265" i="55"/>
  <c r="I266" i="55"/>
  <c r="I267" i="55"/>
  <c r="I268" i="55"/>
  <c r="I269" i="55"/>
  <c r="I270" i="55"/>
  <c r="I271" i="55"/>
  <c r="I272" i="55"/>
  <c r="I273" i="55"/>
  <c r="I274" i="55"/>
  <c r="I275" i="55"/>
  <c r="I276" i="55"/>
  <c r="I277" i="55"/>
  <c r="I278" i="55"/>
  <c r="I254" i="55"/>
  <c r="I255" i="55"/>
  <c r="I279" i="55"/>
  <c r="I280" i="55"/>
  <c r="J15" i="61"/>
  <c r="K6" i="61"/>
  <c r="J289"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K15" i="61"/>
  <c r="J290" i="55"/>
  <c r="J292"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15" i="61"/>
  <c r="J6" i="61"/>
  <c r="I289" i="55"/>
  <c r="I290" i="55"/>
  <c r="I292"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15" i="61"/>
  <c r="I6" i="61"/>
  <c r="H289" i="55"/>
  <c r="H290" i="55"/>
  <c r="H292"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15" i="61"/>
  <c r="H6" i="61"/>
  <c r="G289" i="55"/>
  <c r="G290" i="55"/>
  <c r="G292" i="55"/>
  <c r="G294" i="55"/>
  <c r="G301" i="55"/>
  <c r="G302" i="55"/>
  <c r="G305" i="55"/>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56" i="55"/>
  <c r="C113" i="55"/>
  <c r="C165" i="55"/>
  <c r="F224" i="55"/>
  <c r="C57" i="55"/>
  <c r="C114" i="55"/>
  <c r="C166" i="55"/>
  <c r="F225" i="55"/>
  <c r="C58" i="55"/>
  <c r="C115" i="55"/>
  <c r="C167" i="55"/>
  <c r="F226" i="55"/>
  <c r="C59" i="55"/>
  <c r="C116" i="55"/>
  <c r="C168" i="55"/>
  <c r="F227" i="55"/>
  <c r="C32" i="55"/>
  <c r="C89" i="55"/>
  <c r="C141" i="55"/>
  <c r="F199" i="55"/>
  <c r="C162" i="55"/>
  <c r="F221" i="55"/>
  <c r="C163" i="55"/>
  <c r="F222" i="55"/>
  <c r="C164" i="55"/>
  <c r="F223" i="55"/>
  <c r="F229" i="55"/>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7" i="55"/>
  <c r="E258" i="55"/>
  <c r="E259" i="55"/>
  <c r="E260" i="55"/>
  <c r="E261" i="55"/>
  <c r="E262" i="55"/>
  <c r="E263" i="55"/>
  <c r="E264" i="55"/>
  <c r="E265" i="55"/>
  <c r="E266" i="55"/>
  <c r="E267" i="55"/>
  <c r="E268" i="55"/>
  <c r="E269" i="55"/>
  <c r="E270" i="55"/>
  <c r="E271" i="55"/>
  <c r="E272" i="55"/>
  <c r="E273" i="55"/>
  <c r="E274" i="55"/>
  <c r="E275" i="55"/>
  <c r="E276" i="55"/>
  <c r="E277" i="55"/>
  <c r="E278" i="55"/>
  <c r="E254" i="55"/>
  <c r="E255" i="55"/>
  <c r="E279" i="55"/>
  <c r="E280" i="55"/>
  <c r="F15" i="61"/>
  <c r="G6" i="61"/>
  <c r="F289" i="55"/>
  <c r="F290" i="55"/>
  <c r="F292" i="55"/>
  <c r="F294" i="55"/>
  <c r="F301" i="55"/>
  <c r="F302" i="55"/>
  <c r="F305" i="55"/>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203" i="55"/>
  <c r="E204" i="55"/>
  <c r="E205" i="55"/>
  <c r="E206" i="55"/>
  <c r="E207" i="55"/>
  <c r="E208" i="55"/>
  <c r="E209" i="55"/>
  <c r="E210" i="55"/>
  <c r="E211" i="55"/>
  <c r="E212" i="55"/>
  <c r="E213" i="55"/>
  <c r="E214" i="55"/>
  <c r="E215" i="55"/>
  <c r="E216" i="55"/>
  <c r="E217" i="55"/>
  <c r="E218" i="55"/>
  <c r="E219" i="55"/>
  <c r="E220" i="55"/>
  <c r="E224" i="55"/>
  <c r="E225" i="55"/>
  <c r="E226" i="55"/>
  <c r="E227" i="55"/>
  <c r="E199" i="55"/>
  <c r="E221" i="55"/>
  <c r="E222" i="55"/>
  <c r="E223" i="55"/>
  <c r="E229" i="55"/>
  <c r="E285" i="55"/>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3" i="55"/>
  <c r="D284" i="55"/>
  <c r="D257" i="55"/>
  <c r="D258" i="55"/>
  <c r="D259" i="55"/>
  <c r="D260" i="55"/>
  <c r="D261" i="55"/>
  <c r="D262" i="55"/>
  <c r="D263" i="55"/>
  <c r="D264" i="55"/>
  <c r="D265" i="55"/>
  <c r="D266" i="55"/>
  <c r="D267" i="55"/>
  <c r="D268" i="55"/>
  <c r="D269" i="55"/>
  <c r="D270" i="55"/>
  <c r="D271" i="55"/>
  <c r="D272" i="55"/>
  <c r="D273" i="55"/>
  <c r="D274" i="55"/>
  <c r="D275" i="55"/>
  <c r="D276" i="55"/>
  <c r="D277" i="55"/>
  <c r="D278" i="55"/>
  <c r="D254" i="55"/>
  <c r="D255" i="55"/>
  <c r="D279" i="55"/>
  <c r="D280" i="55"/>
  <c r="E15" i="61"/>
  <c r="F6" i="61"/>
  <c r="E289" i="55"/>
  <c r="E290" i="55"/>
  <c r="E292" i="55"/>
  <c r="E294" i="55"/>
  <c r="E301" i="55"/>
  <c r="E302" i="55"/>
  <c r="E305" i="55"/>
  <c r="D285" i="55"/>
  <c r="D290" i="55"/>
  <c r="D292" i="55"/>
  <c r="D294" i="55"/>
  <c r="D301"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70" i="29"/>
  <c r="H7" i="21"/>
  <c r="I171" i="29"/>
  <c r="H10" i="21"/>
  <c r="I174" i="29"/>
  <c r="H11" i="21"/>
  <c r="I175" i="29"/>
  <c r="H8" i="21"/>
  <c r="I172" i="29"/>
  <c r="H9" i="21"/>
  <c r="I173" i="29"/>
  <c r="I176" i="29"/>
  <c r="I177" i="29"/>
  <c r="H16" i="21"/>
  <c r="H17" i="21"/>
  <c r="H20" i="21"/>
  <c r="H21" i="21"/>
  <c r="H18" i="21"/>
  <c r="H19" i="21"/>
  <c r="H23" i="21"/>
  <c r="I180" i="29"/>
  <c r="H27" i="21"/>
  <c r="F4" i="22"/>
  <c r="G4" i="22"/>
  <c r="H4" i="22"/>
  <c r="I4" i="22"/>
  <c r="J4" i="22"/>
  <c r="K4" i="22"/>
  <c r="K8" i="22"/>
  <c r="K9" i="22"/>
  <c r="K10" i="22"/>
  <c r="K16" i="22"/>
  <c r="K14" i="22"/>
  <c r="K15" i="22"/>
  <c r="K11" i="22"/>
  <c r="K12" i="22"/>
  <c r="K13" i="22"/>
  <c r="K17" i="22"/>
  <c r="K18" i="22"/>
  <c r="K19" i="22"/>
  <c r="K20" i="22"/>
  <c r="K21" i="22"/>
  <c r="K22" i="22"/>
  <c r="K23" i="22"/>
  <c r="H33" i="21"/>
  <c r="H28" i="21"/>
  <c r="H26" i="21"/>
  <c r="H29" i="21"/>
  <c r="H30" i="21"/>
  <c r="H31" i="21"/>
  <c r="H34" i="21"/>
  <c r="I179" i="29"/>
  <c r="I181" i="29"/>
  <c r="I182" i="29"/>
  <c r="G6" i="21"/>
  <c r="H170" i="29"/>
  <c r="G7" i="21"/>
  <c r="H171" i="29"/>
  <c r="G10" i="21"/>
  <c r="H174" i="29"/>
  <c r="G11" i="21"/>
  <c r="H175" i="29"/>
  <c r="G8" i="21"/>
  <c r="H172" i="29"/>
  <c r="G9" i="21"/>
  <c r="H173" i="29"/>
  <c r="H176" i="29"/>
  <c r="H177" i="29"/>
  <c r="G16" i="21"/>
  <c r="G17" i="21"/>
  <c r="G20" i="21"/>
  <c r="G21" i="21"/>
  <c r="G18" i="21"/>
  <c r="G19" i="21"/>
  <c r="G23" i="21"/>
  <c r="H180" i="29"/>
  <c r="G27" i="21"/>
  <c r="J8" i="22"/>
  <c r="J9" i="22"/>
  <c r="J10" i="22"/>
  <c r="J16" i="22"/>
  <c r="J14" i="22"/>
  <c r="J15" i="22"/>
  <c r="J11" i="22"/>
  <c r="J12" i="22"/>
  <c r="J13" i="22"/>
  <c r="J17" i="22"/>
  <c r="J18" i="22"/>
  <c r="J19" i="22"/>
  <c r="J20" i="22"/>
  <c r="J21" i="22"/>
  <c r="J22" i="22"/>
  <c r="J23" i="22"/>
  <c r="G33" i="21"/>
  <c r="G28" i="21"/>
  <c r="G26" i="21"/>
  <c r="G29" i="21"/>
  <c r="G30" i="21"/>
  <c r="G31" i="21"/>
  <c r="G34" i="21"/>
  <c r="H179" i="29"/>
  <c r="H181" i="29"/>
  <c r="H182" i="29"/>
  <c r="F6" i="21"/>
  <c r="G170" i="29"/>
  <c r="F7" i="21"/>
  <c r="G171" i="29"/>
  <c r="F10" i="21"/>
  <c r="G174" i="29"/>
  <c r="F11" i="21"/>
  <c r="G175" i="29"/>
  <c r="F8" i="21"/>
  <c r="G172" i="29"/>
  <c r="F9" i="21"/>
  <c r="G173" i="29"/>
  <c r="G176" i="29"/>
  <c r="G177" i="29"/>
  <c r="F16" i="21"/>
  <c r="F17" i="21"/>
  <c r="F20" i="21"/>
  <c r="F21" i="21"/>
  <c r="F18" i="21"/>
  <c r="F19" i="21"/>
  <c r="F23" i="21"/>
  <c r="G180" i="29"/>
  <c r="F27" i="21"/>
  <c r="I8" i="22"/>
  <c r="I9" i="22"/>
  <c r="I10" i="22"/>
  <c r="I16" i="22"/>
  <c r="I14" i="22"/>
  <c r="I15" i="22"/>
  <c r="I11" i="22"/>
  <c r="I12" i="22"/>
  <c r="I13" i="22"/>
  <c r="I17" i="22"/>
  <c r="I18" i="22"/>
  <c r="I19" i="22"/>
  <c r="I20" i="22"/>
  <c r="I21" i="22"/>
  <c r="I22" i="22"/>
  <c r="I23" i="22"/>
  <c r="F33" i="21"/>
  <c r="F28" i="21"/>
  <c r="F26" i="21"/>
  <c r="F29" i="21"/>
  <c r="F30" i="21"/>
  <c r="F31" i="21"/>
  <c r="F34" i="21"/>
  <c r="G179" i="29"/>
  <c r="G181" i="29"/>
  <c r="G182" i="29"/>
  <c r="E6" i="21"/>
  <c r="F170" i="29"/>
  <c r="E7" i="21"/>
  <c r="F171" i="29"/>
  <c r="E10" i="21"/>
  <c r="F174" i="29"/>
  <c r="E11" i="21"/>
  <c r="F175" i="29"/>
  <c r="E8" i="21"/>
  <c r="F172" i="29"/>
  <c r="E9" i="21"/>
  <c r="F173" i="29"/>
  <c r="F176" i="29"/>
  <c r="F177" i="29"/>
  <c r="E16" i="21"/>
  <c r="E17" i="21"/>
  <c r="E20" i="21"/>
  <c r="E21" i="21"/>
  <c r="E18" i="21"/>
  <c r="E19" i="21"/>
  <c r="E23" i="21"/>
  <c r="F180" i="29"/>
  <c r="E27" i="21"/>
  <c r="H8" i="22"/>
  <c r="H9" i="22"/>
  <c r="H10" i="22"/>
  <c r="H16" i="22"/>
  <c r="H14" i="22"/>
  <c r="H15" i="22"/>
  <c r="H11" i="22"/>
  <c r="H12" i="22"/>
  <c r="H13" i="22"/>
  <c r="H17" i="22"/>
  <c r="H18" i="22"/>
  <c r="H19" i="22"/>
  <c r="H20" i="22"/>
  <c r="H21" i="22"/>
  <c r="H22" i="22"/>
  <c r="H23" i="22"/>
  <c r="E33" i="21"/>
  <c r="E28" i="21"/>
  <c r="E26" i="21"/>
  <c r="E29" i="21"/>
  <c r="E30" i="21"/>
  <c r="E31" i="21"/>
  <c r="E34" i="21"/>
  <c r="F179" i="29"/>
  <c r="F181" i="29"/>
  <c r="F182" i="29"/>
  <c r="D6" i="21"/>
  <c r="E170" i="29"/>
  <c r="D7" i="21"/>
  <c r="E171" i="29"/>
  <c r="D10" i="21"/>
  <c r="E174" i="29"/>
  <c r="D11" i="21"/>
  <c r="E175" i="29"/>
  <c r="D8" i="21"/>
  <c r="E172" i="29"/>
  <c r="D9" i="21"/>
  <c r="E173" i="29"/>
  <c r="E176" i="29"/>
  <c r="E177" i="29"/>
  <c r="D16" i="21"/>
  <c r="D17" i="21"/>
  <c r="D20" i="21"/>
  <c r="D21" i="21"/>
  <c r="D18" i="21"/>
  <c r="D19" i="21"/>
  <c r="D23" i="21"/>
  <c r="E180" i="29"/>
  <c r="D27" i="21"/>
  <c r="G8" i="22"/>
  <c r="G9" i="22"/>
  <c r="G10" i="22"/>
  <c r="G16" i="22"/>
  <c r="G14" i="22"/>
  <c r="G15" i="22"/>
  <c r="G11" i="22"/>
  <c r="G12" i="22"/>
  <c r="G13" i="22"/>
  <c r="G17" i="22"/>
  <c r="G18" i="22"/>
  <c r="G19" i="22"/>
  <c r="G20" i="22"/>
  <c r="G21" i="22"/>
  <c r="G22" i="22"/>
  <c r="G23" i="22"/>
  <c r="D33" i="21"/>
  <c r="D28" i="21"/>
  <c r="D26" i="21"/>
  <c r="D29" i="21"/>
  <c r="D30" i="21"/>
  <c r="D31" i="21"/>
  <c r="D34" i="21"/>
  <c r="E179" i="29"/>
  <c r="E181" i="29"/>
  <c r="E182" i="29"/>
  <c r="C6" i="21"/>
  <c r="D170" i="29"/>
  <c r="C7" i="21"/>
  <c r="D171" i="29"/>
  <c r="C10" i="21"/>
  <c r="D174" i="29"/>
  <c r="C11" i="21"/>
  <c r="D175" i="29"/>
  <c r="C8" i="21"/>
  <c r="D172" i="29"/>
  <c r="C9" i="21"/>
  <c r="D173" i="29"/>
  <c r="D176" i="29"/>
  <c r="D177" i="29"/>
  <c r="C16" i="21"/>
  <c r="C17" i="21"/>
  <c r="C20" i="21"/>
  <c r="C21" i="21"/>
  <c r="C18" i="21"/>
  <c r="C19" i="21"/>
  <c r="C23" i="21"/>
  <c r="D180" i="29"/>
  <c r="C27" i="21"/>
  <c r="F8" i="22"/>
  <c r="F9" i="22"/>
  <c r="F10" i="22"/>
  <c r="F16" i="22"/>
  <c r="F14" i="22"/>
  <c r="F15" i="22"/>
  <c r="F11" i="22"/>
  <c r="F12" i="22"/>
  <c r="F13" i="22"/>
  <c r="F17" i="22"/>
  <c r="F18" i="22"/>
  <c r="F19" i="22"/>
  <c r="F20" i="22"/>
  <c r="F21" i="22"/>
  <c r="F22" i="22"/>
  <c r="F23" i="22"/>
  <c r="C33" i="21"/>
  <c r="C28" i="21"/>
  <c r="C26" i="21"/>
  <c r="C29" i="21"/>
  <c r="C30" i="21"/>
  <c r="C31" i="21"/>
  <c r="C34" i="21"/>
  <c r="D179" i="29"/>
  <c r="D181" i="29"/>
  <c r="D182" i="29"/>
  <c r="C170" i="29"/>
  <c r="B7" i="21"/>
  <c r="C171" i="29"/>
  <c r="B10" i="21"/>
  <c r="C174" i="29"/>
  <c r="B11" i="21"/>
  <c r="C175" i="29"/>
  <c r="B8" i="21"/>
  <c r="C172" i="29"/>
  <c r="B9" i="21"/>
  <c r="C173" i="29"/>
  <c r="C176" i="29"/>
  <c r="C177" i="29"/>
  <c r="B16" i="21"/>
  <c r="B17" i="21"/>
  <c r="B20" i="21"/>
  <c r="B21" i="21"/>
  <c r="B18" i="21"/>
  <c r="B19" i="21"/>
  <c r="B23" i="21"/>
  <c r="C180" i="29"/>
  <c r="B27" i="21"/>
  <c r="E8" i="22"/>
  <c r="E9" i="22"/>
  <c r="E10" i="22"/>
  <c r="E16" i="22"/>
  <c r="E14" i="22"/>
  <c r="E15" i="22"/>
  <c r="E11" i="22"/>
  <c r="E12" i="22"/>
  <c r="E13" i="22"/>
  <c r="E17" i="22"/>
  <c r="E18" i="22"/>
  <c r="E19" i="22"/>
  <c r="E20" i="22"/>
  <c r="E21" i="22"/>
  <c r="E22" i="22"/>
  <c r="E23" i="22"/>
  <c r="B33" i="21"/>
  <c r="B28" i="21"/>
  <c r="B26" i="21"/>
  <c r="B29" i="21"/>
  <c r="B30" i="21"/>
  <c r="B31" i="21"/>
  <c r="B34" i="21"/>
  <c r="C179" i="29"/>
  <c r="C181" i="29"/>
  <c r="C182" i="29"/>
  <c r="B131" i="29"/>
  <c r="B146" i="29"/>
  <c r="B161" i="29"/>
  <c r="B176" i="29"/>
  <c r="B130" i="29"/>
  <c r="B145" i="29"/>
  <c r="B160" i="29"/>
  <c r="B175" i="29"/>
  <c r="B129" i="29"/>
  <c r="B144" i="29"/>
  <c r="B159" i="29"/>
  <c r="B174" i="29"/>
  <c r="B128" i="29"/>
  <c r="B143" i="29"/>
  <c r="B158" i="29"/>
  <c r="B173" i="29"/>
  <c r="B127" i="29"/>
  <c r="B142" i="29"/>
  <c r="B157" i="29"/>
  <c r="B172" i="29"/>
  <c r="B126" i="29"/>
  <c r="B141" i="29"/>
  <c r="B156" i="29"/>
  <c r="B171" i="29"/>
  <c r="B125" i="29"/>
  <c r="B140" i="29"/>
  <c r="B155" i="29"/>
  <c r="B170" i="29"/>
  <c r="I155" i="29"/>
  <c r="I156" i="29"/>
  <c r="I159" i="29"/>
  <c r="I160" i="29"/>
  <c r="I157" i="29"/>
  <c r="I158" i="29"/>
  <c r="I161" i="29"/>
  <c r="I162" i="29"/>
  <c r="I165" i="29"/>
  <c r="I164" i="29"/>
  <c r="I166" i="29"/>
  <c r="I167" i="29"/>
  <c r="H155" i="29"/>
  <c r="H156" i="29"/>
  <c r="H159" i="29"/>
  <c r="H160" i="29"/>
  <c r="H157" i="29"/>
  <c r="H158" i="29"/>
  <c r="H161" i="29"/>
  <c r="H162" i="29"/>
  <c r="H165" i="29"/>
  <c r="H164" i="29"/>
  <c r="H166" i="29"/>
  <c r="H167" i="29"/>
  <c r="G155" i="29"/>
  <c r="G156" i="29"/>
  <c r="G159" i="29"/>
  <c r="G160" i="29"/>
  <c r="G157" i="29"/>
  <c r="G158" i="29"/>
  <c r="G161" i="29"/>
  <c r="G162" i="29"/>
  <c r="G165" i="29"/>
  <c r="G164" i="29"/>
  <c r="G166" i="29"/>
  <c r="G167" i="29"/>
  <c r="F155" i="29"/>
  <c r="F156" i="29"/>
  <c r="F159" i="29"/>
  <c r="F160" i="29"/>
  <c r="F157" i="29"/>
  <c r="F158" i="29"/>
  <c r="F161" i="29"/>
  <c r="F162" i="29"/>
  <c r="F165" i="29"/>
  <c r="F164" i="29"/>
  <c r="F166" i="29"/>
  <c r="F167" i="29"/>
  <c r="E155" i="29"/>
  <c r="E156" i="29"/>
  <c r="E159" i="29"/>
  <c r="E160" i="29"/>
  <c r="E157" i="29"/>
  <c r="E158" i="29"/>
  <c r="E161" i="29"/>
  <c r="E162" i="29"/>
  <c r="E165" i="29"/>
  <c r="E164" i="29"/>
  <c r="E166" i="29"/>
  <c r="E167" i="29"/>
  <c r="D155" i="29"/>
  <c r="D156" i="29"/>
  <c r="D159" i="29"/>
  <c r="D160" i="29"/>
  <c r="D157" i="29"/>
  <c r="D158" i="29"/>
  <c r="D161" i="29"/>
  <c r="D162" i="29"/>
  <c r="D165" i="29"/>
  <c r="D164" i="29"/>
  <c r="D166" i="29"/>
  <c r="D167" i="29"/>
  <c r="C155" i="29"/>
  <c r="C156" i="29"/>
  <c r="C159" i="29"/>
  <c r="C160" i="29"/>
  <c r="C157" i="29"/>
  <c r="C158" i="29"/>
  <c r="C161" i="29"/>
  <c r="C162" i="29"/>
  <c r="C165" i="29"/>
  <c r="C164" i="29"/>
  <c r="C166" i="29"/>
  <c r="C167" i="29"/>
  <c r="I140" i="29"/>
  <c r="I141" i="29"/>
  <c r="I144" i="29"/>
  <c r="I145" i="29"/>
  <c r="I142" i="29"/>
  <c r="I143" i="29"/>
  <c r="I146" i="29"/>
  <c r="I147" i="29"/>
  <c r="I150" i="29"/>
  <c r="I149" i="29"/>
  <c r="I151" i="29"/>
  <c r="I152" i="29"/>
  <c r="H140" i="29"/>
  <c r="H141" i="29"/>
  <c r="H144" i="29"/>
  <c r="H145" i="29"/>
  <c r="H142" i="29"/>
  <c r="H143" i="29"/>
  <c r="H146" i="29"/>
  <c r="H147" i="29"/>
  <c r="H150" i="29"/>
  <c r="H149" i="29"/>
  <c r="H151" i="29"/>
  <c r="H152" i="29"/>
  <c r="G140" i="29"/>
  <c r="G141" i="29"/>
  <c r="G144" i="29"/>
  <c r="G145" i="29"/>
  <c r="G142" i="29"/>
  <c r="G143" i="29"/>
  <c r="G146" i="29"/>
  <c r="G147" i="29"/>
  <c r="G150" i="29"/>
  <c r="G149" i="29"/>
  <c r="G151" i="29"/>
  <c r="G152" i="29"/>
  <c r="F140" i="29"/>
  <c r="F141" i="29"/>
  <c r="F144" i="29"/>
  <c r="F145" i="29"/>
  <c r="F142" i="29"/>
  <c r="F143" i="29"/>
  <c r="F146" i="29"/>
  <c r="F147" i="29"/>
  <c r="F150" i="29"/>
  <c r="F149" i="29"/>
  <c r="F151" i="29"/>
  <c r="F152" i="29"/>
  <c r="E140" i="29"/>
  <c r="E141" i="29"/>
  <c r="E144" i="29"/>
  <c r="E145" i="29"/>
  <c r="E142" i="29"/>
  <c r="E143" i="29"/>
  <c r="E146" i="29"/>
  <c r="E147" i="29"/>
  <c r="E150" i="29"/>
  <c r="E149" i="29"/>
  <c r="E151" i="29"/>
  <c r="E152" i="29"/>
  <c r="D140" i="29"/>
  <c r="D141" i="29"/>
  <c r="D144" i="29"/>
  <c r="D145" i="29"/>
  <c r="D142" i="29"/>
  <c r="D143" i="29"/>
  <c r="D146" i="29"/>
  <c r="D147" i="29"/>
  <c r="D150" i="29"/>
  <c r="D149" i="29"/>
  <c r="D151" i="29"/>
  <c r="D152" i="29"/>
  <c r="C140" i="29"/>
  <c r="C141" i="29"/>
  <c r="C144" i="29"/>
  <c r="C145" i="29"/>
  <c r="C142" i="29"/>
  <c r="C143" i="29"/>
  <c r="C146" i="29"/>
  <c r="C147" i="29"/>
  <c r="C150" i="29"/>
  <c r="C149" i="29"/>
  <c r="C151" i="29"/>
  <c r="C152" i="29"/>
  <c r="I125" i="29"/>
  <c r="I126" i="29"/>
  <c r="I129" i="29"/>
  <c r="I130" i="29"/>
  <c r="I127" i="29"/>
  <c r="I128" i="29"/>
  <c r="I131" i="29"/>
  <c r="I132" i="29"/>
  <c r="I135" i="29"/>
  <c r="I134" i="29"/>
  <c r="I136" i="29"/>
  <c r="I137" i="29"/>
  <c r="H125" i="29"/>
  <c r="H126" i="29"/>
  <c r="H129" i="29"/>
  <c r="H130" i="29"/>
  <c r="H127" i="29"/>
  <c r="H128" i="29"/>
  <c r="H131" i="29"/>
  <c r="H132" i="29"/>
  <c r="H135" i="29"/>
  <c r="H134" i="29"/>
  <c r="H136" i="29"/>
  <c r="H137" i="29"/>
  <c r="G125" i="29"/>
  <c r="G126" i="29"/>
  <c r="G129" i="29"/>
  <c r="G130" i="29"/>
  <c r="G127" i="29"/>
  <c r="G128" i="29"/>
  <c r="G131" i="29"/>
  <c r="G132" i="29"/>
  <c r="G135" i="29"/>
  <c r="G134" i="29"/>
  <c r="G136" i="29"/>
  <c r="G137" i="29"/>
  <c r="F125" i="29"/>
  <c r="F126" i="29"/>
  <c r="F129" i="29"/>
  <c r="F130" i="29"/>
  <c r="F127" i="29"/>
  <c r="F128" i="29"/>
  <c r="F131" i="29"/>
  <c r="F132" i="29"/>
  <c r="F135" i="29"/>
  <c r="F134" i="29"/>
  <c r="F136" i="29"/>
  <c r="F137" i="29"/>
  <c r="E125" i="29"/>
  <c r="E126" i="29"/>
  <c r="E129" i="29"/>
  <c r="E130" i="29"/>
  <c r="E127" i="29"/>
  <c r="E128" i="29"/>
  <c r="E131" i="29"/>
  <c r="E132" i="29"/>
  <c r="E135" i="29"/>
  <c r="E134" i="29"/>
  <c r="E136" i="29"/>
  <c r="E137" i="29"/>
  <c r="D125" i="29"/>
  <c r="D126" i="29"/>
  <c r="D129" i="29"/>
  <c r="D130" i="29"/>
  <c r="D127" i="29"/>
  <c r="D128" i="29"/>
  <c r="D131" i="29"/>
  <c r="D132" i="29"/>
  <c r="D135" i="29"/>
  <c r="D134" i="29"/>
  <c r="D136" i="29"/>
  <c r="D137" i="29"/>
  <c r="C125" i="29"/>
  <c r="C126" i="29"/>
  <c r="C129" i="29"/>
  <c r="C130" i="29"/>
  <c r="C127" i="29"/>
  <c r="C128" i="29"/>
  <c r="C131" i="29"/>
  <c r="C132" i="29"/>
  <c r="C135" i="29"/>
  <c r="C134" i="29"/>
  <c r="C136" i="29"/>
  <c r="C137" i="29"/>
  <c r="C37" i="22"/>
  <c r="C38" i="22"/>
  <c r="C43" i="22"/>
  <c r="C44" i="22"/>
  <c r="C55" i="22"/>
  <c r="C56" i="22"/>
  <c r="C49" i="22"/>
  <c r="C50" i="22"/>
  <c r="C61" i="22"/>
  <c r="C62" i="22"/>
  <c r="C66" i="22"/>
  <c r="B40" i="21"/>
  <c r="C110" i="29"/>
  <c r="C26" i="68"/>
  <c r="C112" i="29"/>
  <c r="D112" i="57"/>
  <c r="D11" i="62"/>
  <c r="C86" i="22"/>
  <c r="B41" i="21"/>
  <c r="C111" i="29"/>
  <c r="B13" i="21"/>
  <c r="B36" i="21"/>
  <c r="B38" i="21"/>
  <c r="C109" i="29"/>
  <c r="C25" i="68"/>
  <c r="C115" i="29"/>
  <c r="C117" i="29"/>
  <c r="D38" i="22"/>
  <c r="D44" i="22"/>
  <c r="D56" i="22"/>
  <c r="D50" i="22"/>
  <c r="D62" i="22"/>
  <c r="D66" i="22"/>
  <c r="C40" i="21"/>
  <c r="D110" i="29"/>
  <c r="D26" i="68"/>
  <c r="D112" i="29"/>
  <c r="D86" i="22"/>
  <c r="C41" i="21"/>
  <c r="D111" i="29"/>
  <c r="C13" i="21"/>
  <c r="C36" i="21"/>
  <c r="C38" i="21"/>
  <c r="D109" i="29"/>
  <c r="D113" i="29"/>
  <c r="D25" i="68"/>
  <c r="D115" i="29"/>
  <c r="D117" i="29"/>
  <c r="E38" i="22"/>
  <c r="E44" i="22"/>
  <c r="E56" i="22"/>
  <c r="E50" i="22"/>
  <c r="E62" i="22"/>
  <c r="E66" i="22"/>
  <c r="D40" i="21"/>
  <c r="E110" i="29"/>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2" i="29"/>
  <c r="E86" i="22"/>
  <c r="D41" i="21"/>
  <c r="E111" i="29"/>
  <c r="D13" i="21"/>
  <c r="D36" i="21"/>
  <c r="D38" i="21"/>
  <c r="E109" i="29"/>
  <c r="E113" i="29"/>
  <c r="F45" i="23"/>
  <c r="E45" i="23"/>
  <c r="E25" i="68"/>
  <c r="E115" i="29"/>
  <c r="E117" i="29"/>
  <c r="F38" i="22"/>
  <c r="F44" i="22"/>
  <c r="F56" i="22"/>
  <c r="F50" i="22"/>
  <c r="F62" i="22"/>
  <c r="F66" i="22"/>
  <c r="E40" i="21"/>
  <c r="F110" i="29"/>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2" i="29"/>
  <c r="F86" i="22"/>
  <c r="E41" i="21"/>
  <c r="F111" i="29"/>
  <c r="E13" i="21"/>
  <c r="E36" i="21"/>
  <c r="E38" i="21"/>
  <c r="F109" i="29"/>
  <c r="F113" i="29"/>
  <c r="F57" i="23"/>
  <c r="E57" i="23"/>
  <c r="F25" i="68"/>
  <c r="F115" i="29"/>
  <c r="F117" i="29"/>
  <c r="G38" i="22"/>
  <c r="G44" i="22"/>
  <c r="G56" i="22"/>
  <c r="G50" i="22"/>
  <c r="G62" i="22"/>
  <c r="G66" i="22"/>
  <c r="F40" i="21"/>
  <c r="G110" i="29"/>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2" i="29"/>
  <c r="G86" i="22"/>
  <c r="F41" i="21"/>
  <c r="G111" i="29"/>
  <c r="F13" i="21"/>
  <c r="F36" i="21"/>
  <c r="F38" i="21"/>
  <c r="G109" i="29"/>
  <c r="G113" i="29"/>
  <c r="F69" i="23"/>
  <c r="E69" i="23"/>
  <c r="G25" i="68"/>
  <c r="G115" i="29"/>
  <c r="G117" i="29"/>
  <c r="H38" i="22"/>
  <c r="H44" i="22"/>
  <c r="H56" i="22"/>
  <c r="H50" i="22"/>
  <c r="H62" i="22"/>
  <c r="H66" i="22"/>
  <c r="G40" i="21"/>
  <c r="H110"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2" i="29"/>
  <c r="G13" i="21"/>
  <c r="G36" i="21"/>
  <c r="G38" i="21"/>
  <c r="H109" i="29"/>
  <c r="G41" i="21"/>
  <c r="H111" i="29"/>
  <c r="H113" i="29"/>
  <c r="F81" i="23"/>
  <c r="E81" i="23"/>
  <c r="H25" i="68"/>
  <c r="H115" i="29"/>
  <c r="H117" i="29"/>
  <c r="I38" i="22"/>
  <c r="I44" i="22"/>
  <c r="I56" i="22"/>
  <c r="I50" i="22"/>
  <c r="I62" i="22"/>
  <c r="I66" i="22"/>
  <c r="H40" i="21"/>
  <c r="I110" i="29"/>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2" i="29"/>
  <c r="H13" i="21"/>
  <c r="H36" i="21"/>
  <c r="H38" i="21"/>
  <c r="I109" i="29"/>
  <c r="H41" i="21"/>
  <c r="I111" i="29"/>
  <c r="I113" i="29"/>
  <c r="F93" i="23"/>
  <c r="E93" i="23"/>
  <c r="I25" i="68"/>
  <c r="I115" i="29"/>
  <c r="I117" i="29"/>
  <c r="C119" i="29"/>
  <c r="B43" i="21"/>
  <c r="E29" i="61"/>
  <c r="E31" i="61"/>
  <c r="E32" i="61"/>
  <c r="E34" i="61"/>
  <c r="E33" i="61"/>
  <c r="E30" i="61"/>
  <c r="E36" i="61"/>
  <c r="E17" i="61"/>
  <c r="E20" i="61"/>
  <c r="E37" i="61"/>
  <c r="E39" i="61"/>
  <c r="E42" i="61"/>
  <c r="E44" i="61"/>
  <c r="E45" i="61"/>
  <c r="E47" i="61"/>
  <c r="E46" i="61"/>
  <c r="E43" i="61"/>
  <c r="E49" i="61"/>
  <c r="E50" i="61"/>
  <c r="C11" i="68"/>
  <c r="C27" i="68"/>
  <c r="C28" i="68"/>
  <c r="B45" i="21"/>
  <c r="B47" i="21"/>
  <c r="B95" i="22"/>
  <c r="B96" i="22"/>
  <c r="K37" i="22"/>
  <c r="K38" i="22"/>
  <c r="K43" i="22"/>
  <c r="K44" i="22"/>
  <c r="K55" i="22"/>
  <c r="K56" i="22"/>
  <c r="K49" i="22"/>
  <c r="K50" i="22"/>
  <c r="K61" i="22"/>
  <c r="K62" i="22"/>
  <c r="K66" i="22"/>
  <c r="B97" i="22"/>
  <c r="B98" i="22"/>
  <c r="B99" i="22"/>
  <c r="B48" i="21"/>
  <c r="B49" i="21"/>
  <c r="D95" i="29"/>
  <c r="D96" i="29"/>
  <c r="D97" i="29"/>
  <c r="D98" i="29"/>
  <c r="E51" i="61"/>
  <c r="D12" i="62"/>
  <c r="D13" i="62"/>
  <c r="C94" i="29"/>
  <c r="D99" i="29"/>
  <c r="C43" i="21"/>
  <c r="F29" i="61"/>
  <c r="F31" i="61"/>
  <c r="F32" i="61"/>
  <c r="F34" i="61"/>
  <c r="F33" i="61"/>
  <c r="F30" i="61"/>
  <c r="F36" i="61"/>
  <c r="F17" i="61"/>
  <c r="F20" i="61"/>
  <c r="F37" i="61"/>
  <c r="F39" i="61"/>
  <c r="F42" i="61"/>
  <c r="F44" i="61"/>
  <c r="F45" i="61"/>
  <c r="F47" i="61"/>
  <c r="F46" i="61"/>
  <c r="F43" i="61"/>
  <c r="F49" i="61"/>
  <c r="F50" i="61"/>
  <c r="D11" i="68"/>
  <c r="D27" i="68"/>
  <c r="D28" i="68"/>
  <c r="C45" i="21"/>
  <c r="C47" i="21"/>
  <c r="C95" i="22"/>
  <c r="C96" i="22"/>
  <c r="K40" i="22"/>
  <c r="L37" i="22"/>
  <c r="L38" i="22"/>
  <c r="K46" i="22"/>
  <c r="L43" i="22"/>
  <c r="L44" i="22"/>
  <c r="K58" i="22"/>
  <c r="L55" i="22"/>
  <c r="L56" i="22"/>
  <c r="K52" i="22"/>
  <c r="L49" i="22"/>
  <c r="L50" i="22"/>
  <c r="K64" i="22"/>
  <c r="L61" i="22"/>
  <c r="L62" i="22"/>
  <c r="L66" i="22"/>
  <c r="C97" i="22"/>
  <c r="C98" i="22"/>
  <c r="C99" i="22"/>
  <c r="C48" i="21"/>
  <c r="C49" i="21"/>
  <c r="E95" i="29"/>
  <c r="E96" i="29"/>
  <c r="E97" i="29"/>
  <c r="E98" i="29"/>
  <c r="E99" i="29"/>
  <c r="D43" i="21"/>
  <c r="G29" i="61"/>
  <c r="G31" i="61"/>
  <c r="G32" i="61"/>
  <c r="G34" i="61"/>
  <c r="G33" i="61"/>
  <c r="G30" i="61"/>
  <c r="G36" i="61"/>
  <c r="G17" i="61"/>
  <c r="G20" i="61"/>
  <c r="G37" i="61"/>
  <c r="G39" i="61"/>
  <c r="G42" i="61"/>
  <c r="G44" i="61"/>
  <c r="G45" i="61"/>
  <c r="G47" i="61"/>
  <c r="G46" i="61"/>
  <c r="G43" i="61"/>
  <c r="G49" i="61"/>
  <c r="G50" i="61"/>
  <c r="E11" i="68"/>
  <c r="E27" i="68"/>
  <c r="E28" i="68"/>
  <c r="D45" i="21"/>
  <c r="D47" i="21"/>
  <c r="D95" i="22"/>
  <c r="D96" i="22"/>
  <c r="L40" i="22"/>
  <c r="M37" i="22"/>
  <c r="M38" i="22"/>
  <c r="L46" i="22"/>
  <c r="M43" i="22"/>
  <c r="M44" i="22"/>
  <c r="L58" i="22"/>
  <c r="M55" i="22"/>
  <c r="M56" i="22"/>
  <c r="L52" i="22"/>
  <c r="M49" i="22"/>
  <c r="M50" i="22"/>
  <c r="L64" i="22"/>
  <c r="M61" i="22"/>
  <c r="M62" i="22"/>
  <c r="M66" i="22"/>
  <c r="D97" i="22"/>
  <c r="D98" i="22"/>
  <c r="D99" i="22"/>
  <c r="D48" i="21"/>
  <c r="D49" i="21"/>
  <c r="F95" i="29"/>
  <c r="F96" i="29"/>
  <c r="F97" i="29"/>
  <c r="F98" i="29"/>
  <c r="F99" i="29"/>
  <c r="E43" i="21"/>
  <c r="H29" i="61"/>
  <c r="H31" i="61"/>
  <c r="H32" i="61"/>
  <c r="H34" i="61"/>
  <c r="H33" i="61"/>
  <c r="H30" i="61"/>
  <c r="H36" i="61"/>
  <c r="H17" i="61"/>
  <c r="H20" i="61"/>
  <c r="H37" i="61"/>
  <c r="H39" i="61"/>
  <c r="H42" i="61"/>
  <c r="H44" i="61"/>
  <c r="H45" i="61"/>
  <c r="H47" i="61"/>
  <c r="H46" i="61"/>
  <c r="H43" i="61"/>
  <c r="H49" i="61"/>
  <c r="H50" i="61"/>
  <c r="F11" i="68"/>
  <c r="F27" i="68"/>
  <c r="F28" i="68"/>
  <c r="E45" i="21"/>
  <c r="E47" i="21"/>
  <c r="E95" i="22"/>
  <c r="E96" i="22"/>
  <c r="M40" i="22"/>
  <c r="N37" i="22"/>
  <c r="N38" i="22"/>
  <c r="M46" i="22"/>
  <c r="N43" i="22"/>
  <c r="N44" i="22"/>
  <c r="M58" i="22"/>
  <c r="N55" i="22"/>
  <c r="N56" i="22"/>
  <c r="M52" i="22"/>
  <c r="N49" i="22"/>
  <c r="N50" i="22"/>
  <c r="M64" i="22"/>
  <c r="N61" i="22"/>
  <c r="N62" i="22"/>
  <c r="N66" i="22"/>
  <c r="E97" i="22"/>
  <c r="E98" i="22"/>
  <c r="E99" i="22"/>
  <c r="E48" i="21"/>
  <c r="E49" i="21"/>
  <c r="G95" i="29"/>
  <c r="G96" i="29"/>
  <c r="G97" i="29"/>
  <c r="G98" i="29"/>
  <c r="G99" i="29"/>
  <c r="F43" i="21"/>
  <c r="I29" i="61"/>
  <c r="I31" i="61"/>
  <c r="I32" i="61"/>
  <c r="I34" i="61"/>
  <c r="I33" i="61"/>
  <c r="I30" i="61"/>
  <c r="I36" i="61"/>
  <c r="I17" i="61"/>
  <c r="I20" i="61"/>
  <c r="I37" i="61"/>
  <c r="I39" i="61"/>
  <c r="I42" i="61"/>
  <c r="I44" i="61"/>
  <c r="I45" i="61"/>
  <c r="I47" i="61"/>
  <c r="I46" i="61"/>
  <c r="I43" i="61"/>
  <c r="I49" i="61"/>
  <c r="I50" i="61"/>
  <c r="G11" i="68"/>
  <c r="G27" i="68"/>
  <c r="G28" i="68"/>
  <c r="F45" i="21"/>
  <c r="F47" i="21"/>
  <c r="F95" i="22"/>
  <c r="F96" i="22"/>
  <c r="N40" i="22"/>
  <c r="O37" i="22"/>
  <c r="O38" i="22"/>
  <c r="N46" i="22"/>
  <c r="O43" i="22"/>
  <c r="O44" i="22"/>
  <c r="N58" i="22"/>
  <c r="O55" i="22"/>
  <c r="O56" i="22"/>
  <c r="N52" i="22"/>
  <c r="O49" i="22"/>
  <c r="O50" i="22"/>
  <c r="N64" i="22"/>
  <c r="O61" i="22"/>
  <c r="O62" i="22"/>
  <c r="O66" i="22"/>
  <c r="F97" i="22"/>
  <c r="F98" i="22"/>
  <c r="F99" i="22"/>
  <c r="F48" i="21"/>
  <c r="F49" i="21"/>
  <c r="H95" i="29"/>
  <c r="H96" i="29"/>
  <c r="H97" i="29"/>
  <c r="H98" i="29"/>
  <c r="D101" i="29"/>
  <c r="H99" i="29"/>
  <c r="H43" i="21"/>
  <c r="K29" i="61"/>
  <c r="K31" i="61"/>
  <c r="K32" i="61"/>
  <c r="K34" i="61"/>
  <c r="K33" i="61"/>
  <c r="K30" i="61"/>
  <c r="K36" i="61"/>
  <c r="K17" i="61"/>
  <c r="K20" i="61"/>
  <c r="K37" i="61"/>
  <c r="K39" i="61"/>
  <c r="K42" i="61"/>
  <c r="K44" i="61"/>
  <c r="K45" i="61"/>
  <c r="K47" i="61"/>
  <c r="K46" i="61"/>
  <c r="K43" i="61"/>
  <c r="K49" i="61"/>
  <c r="K50" i="61"/>
  <c r="I11" i="68"/>
  <c r="I27" i="68"/>
  <c r="I28" i="68"/>
  <c r="H45" i="21"/>
  <c r="H47" i="21"/>
  <c r="H95" i="22"/>
  <c r="H96" i="22"/>
  <c r="O40" i="22"/>
  <c r="P37" i="22"/>
  <c r="P38" i="22"/>
  <c r="P40" i="22"/>
  <c r="Q37" i="22"/>
  <c r="Q38" i="22"/>
  <c r="O46" i="22"/>
  <c r="P43" i="22"/>
  <c r="P44" i="22"/>
  <c r="P46" i="22"/>
  <c r="Q43" i="22"/>
  <c r="Q44" i="22"/>
  <c r="O58" i="22"/>
  <c r="P55" i="22"/>
  <c r="P56" i="22"/>
  <c r="P58" i="22"/>
  <c r="Q55" i="22"/>
  <c r="Q56" i="22"/>
  <c r="O52" i="22"/>
  <c r="P49" i="22"/>
  <c r="P50" i="22"/>
  <c r="P52" i="22"/>
  <c r="Q49" i="22"/>
  <c r="Q50" i="22"/>
  <c r="O64" i="22"/>
  <c r="P61" i="22"/>
  <c r="P62" i="22"/>
  <c r="P64" i="22"/>
  <c r="Q61" i="22"/>
  <c r="Q62" i="22"/>
  <c r="Q66" i="22"/>
  <c r="H97" i="22"/>
  <c r="H98" i="22"/>
  <c r="H99" i="22"/>
  <c r="H48" i="21"/>
  <c r="H49" i="21"/>
  <c r="J95" i="29"/>
  <c r="J96" i="29"/>
  <c r="J97" i="29"/>
  <c r="J98" i="29"/>
  <c r="G43" i="21"/>
  <c r="J29" i="61"/>
  <c r="J31" i="61"/>
  <c r="J32" i="61"/>
  <c r="J34" i="61"/>
  <c r="J33" i="61"/>
  <c r="J30" i="61"/>
  <c r="J36" i="61"/>
  <c r="J17" i="61"/>
  <c r="J20" i="61"/>
  <c r="J37" i="61"/>
  <c r="J39" i="61"/>
  <c r="J42" i="61"/>
  <c r="J44" i="61"/>
  <c r="J45" i="61"/>
  <c r="J47" i="61"/>
  <c r="J46" i="61"/>
  <c r="J43" i="61"/>
  <c r="J49" i="61"/>
  <c r="J50" i="61"/>
  <c r="H11" i="68"/>
  <c r="H27" i="68"/>
  <c r="H28" i="68"/>
  <c r="G45" i="21"/>
  <c r="G47" i="21"/>
  <c r="G95" i="22"/>
  <c r="G96" i="22"/>
  <c r="P66" i="22"/>
  <c r="G97" i="22"/>
  <c r="G98" i="22"/>
  <c r="G99" i="22"/>
  <c r="G48" i="21"/>
  <c r="G49" i="21"/>
  <c r="I95" i="29"/>
  <c r="I96" i="29"/>
  <c r="I97" i="29"/>
  <c r="I98" i="29"/>
  <c r="B98" i="29"/>
  <c r="B97" i="29"/>
  <c r="B96" i="29"/>
  <c r="B95" i="29"/>
  <c r="C80" i="29"/>
  <c r="D80" i="29"/>
  <c r="E80" i="29"/>
  <c r="F80" i="29"/>
  <c r="G80" i="29"/>
  <c r="H80" i="29"/>
  <c r="I80" i="29"/>
  <c r="C82" i="29"/>
  <c r="C83"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9" i="29"/>
  <c r="D11" i="29"/>
  <c r="D12" i="29"/>
  <c r="D14" i="29"/>
  <c r="C15" i="29"/>
  <c r="D15" i="29"/>
  <c r="E9" i="29"/>
  <c r="E11" i="29"/>
  <c r="E12" i="29"/>
  <c r="E14" i="29"/>
  <c r="E15" i="29"/>
  <c r="F9" i="29"/>
  <c r="F11" i="29"/>
  <c r="F12" i="29"/>
  <c r="F14" i="29"/>
  <c r="F15" i="29"/>
  <c r="G9" i="29"/>
  <c r="G11" i="29"/>
  <c r="G12" i="29"/>
  <c r="G14" i="29"/>
  <c r="G15" i="29"/>
  <c r="H9" i="29"/>
  <c r="H11" i="29"/>
  <c r="H12" i="29"/>
  <c r="H14" i="29"/>
  <c r="H15" i="29"/>
  <c r="I9" i="29"/>
  <c r="I11" i="29"/>
  <c r="I12" i="29"/>
  <c r="I14" i="29"/>
  <c r="I15" i="29"/>
  <c r="J9" i="29"/>
  <c r="J11" i="29"/>
  <c r="J12" i="29"/>
  <c r="J14" i="29"/>
  <c r="J15" i="29"/>
  <c r="C16" i="29"/>
  <c r="D18" i="29"/>
  <c r="D19" i="29"/>
  <c r="E18" i="29"/>
  <c r="E19" i="29"/>
  <c r="F18" i="29"/>
  <c r="F19" i="29"/>
  <c r="G18" i="29"/>
  <c r="G19" i="29"/>
  <c r="H18" i="29"/>
  <c r="H19" i="29"/>
  <c r="I18" i="29"/>
  <c r="I19" i="29"/>
  <c r="J18" i="29"/>
  <c r="J19" i="29"/>
  <c r="D20" i="29"/>
  <c r="D22" i="29"/>
  <c r="F23" i="29"/>
  <c r="I29" i="68"/>
  <c r="I22" i="68"/>
  <c r="I23" i="68"/>
  <c r="I30" i="68"/>
  <c r="I6" i="68"/>
  <c r="I12" i="68"/>
  <c r="I31" i="68"/>
  <c r="H29" i="68"/>
  <c r="H22" i="68"/>
  <c r="H23" i="68"/>
  <c r="H30" i="68"/>
  <c r="H6" i="68"/>
  <c r="H12" i="68"/>
  <c r="H31" i="68"/>
  <c r="G29" i="68"/>
  <c r="G22" i="68"/>
  <c r="G23" i="68"/>
  <c r="G30" i="68"/>
  <c r="G6" i="68"/>
  <c r="G12" i="68"/>
  <c r="G31" i="68"/>
  <c r="F29" i="68"/>
  <c r="F22" i="68"/>
  <c r="F23" i="68"/>
  <c r="F30" i="68"/>
  <c r="F6" i="68"/>
  <c r="F12" i="68"/>
  <c r="F31" i="68"/>
  <c r="E29" i="68"/>
  <c r="E22" i="68"/>
  <c r="E23" i="68"/>
  <c r="E30" i="68"/>
  <c r="E6" i="68"/>
  <c r="E12" i="68"/>
  <c r="E31" i="68"/>
  <c r="D29" i="68"/>
  <c r="D22" i="68"/>
  <c r="D23" i="68"/>
  <c r="D30" i="68"/>
  <c r="D6" i="68"/>
  <c r="D12" i="68"/>
  <c r="D31" i="68"/>
  <c r="F6" i="62"/>
  <c r="F7" i="62"/>
  <c r="F10" i="62"/>
  <c r="F11" i="62"/>
  <c r="F8" i="62"/>
  <c r="F9" i="62"/>
  <c r="F13" i="62"/>
  <c r="E20" i="62"/>
  <c r="E22" i="62"/>
  <c r="C7" i="68"/>
  <c r="C9" i="68"/>
  <c r="C10" i="68"/>
  <c r="C6" i="68"/>
  <c r="C12" i="68"/>
  <c r="C15" i="68"/>
  <c r="C29" i="68"/>
  <c r="C16" i="68"/>
  <c r="C19" i="68"/>
  <c r="C20" i="68"/>
  <c r="C22" i="68"/>
  <c r="C23" i="68"/>
  <c r="C17" i="68"/>
  <c r="C18" i="68"/>
  <c r="C30" i="68"/>
  <c r="C31" i="68"/>
  <c r="C33" i="68"/>
  <c r="D32" i="68"/>
  <c r="D33" i="68"/>
  <c r="E32" i="68"/>
  <c r="E33" i="68"/>
  <c r="F32" i="68"/>
  <c r="F33" i="68"/>
  <c r="G32" i="68"/>
  <c r="G33" i="68"/>
  <c r="H32" i="68"/>
  <c r="H33" i="68"/>
  <c r="I32" i="68"/>
  <c r="I33" i="68"/>
  <c r="B16" i="68"/>
  <c r="B15"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62" i="57"/>
  <c r="G49" i="57"/>
  <c r="H32" i="57"/>
  <c r="D34" i="62"/>
  <c r="D33" i="62"/>
  <c r="D32" i="62"/>
  <c r="D31" i="62"/>
  <c r="D30" i="62"/>
  <c r="D29" i="62"/>
  <c r="E23" i="62"/>
  <c r="C11" i="62"/>
  <c r="C10" i="62"/>
  <c r="C9" i="62"/>
  <c r="C8" i="62"/>
  <c r="C7" i="62"/>
  <c r="C6" i="62"/>
</calcChain>
</file>

<file path=xl/sharedStrings.xml><?xml version="1.0" encoding="utf-8"?>
<sst xmlns="http://schemas.openxmlformats.org/spreadsheetml/2006/main" count="1416" uniqueCount="718">
  <si>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</si>
  <si>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</si>
  <si>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</si>
  <si>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</si>
  <si>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</si>
  <si>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</si>
  <si>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</si>
  <si>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</si>
  <si>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</si>
  <si>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</si>
  <si>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</si>
  <si>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</si>
  <si>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</si>
  <si>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</si>
  <si>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</si>
  <si>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</si>
  <si>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</si>
  <si>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</si>
  <si>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</si>
  <si>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</si>
  <si>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</si>
  <si>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</si>
  <si>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</si>
  <si>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</si>
  <si>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</si>
  <si>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</si>
  <si>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</si>
  <si>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</si>
  <si>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</si>
  <si>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</si>
  <si>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</si>
  <si>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</si>
  <si>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</si>
  <si>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</si>
  <si>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</si>
  <si>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</si>
  <si>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</si>
  <si>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</si>
  <si>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</si>
  <si>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</si>
  <si>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</si>
  <si>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</si>
  <si>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</si>
  <si>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</si>
  <si>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</si>
  <si>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</si>
  <si>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</si>
  <si>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</si>
  <si>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</si>
  <si>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</si>
  <si>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</si>
  <si>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</si>
  <si>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</si>
  <si>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</si>
  <si>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</si>
  <si>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</si>
  <si>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</si>
  <si>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</si>
  <si>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</si>
  <si>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</si>
  <si>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</si>
  <si>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</si>
  <si>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</si>
  <si>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</si>
  <si>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</si>
  <si>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</si>
  <si>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</si>
  <si>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</si>
  <si>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</si>
  <si>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</si>
  <si>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</si>
  <si>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</si>
  <si>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</si>
  <si>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</si>
  <si>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</si>
  <si>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</si>
  <si>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</si>
  <si>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</si>
  <si>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</si>
  <si>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</si>
  <si>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</si>
  <si>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</si>
  <si>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</si>
  <si>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</si>
  <si>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</si>
  <si>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</si>
  <si>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</si>
  <si>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</si>
  <si>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</si>
  <si>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</si>
  <si>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</si>
  <si>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</si>
  <si>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</si>
  <si>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</si>
  <si>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</si>
  <si>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</si>
  <si>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</si>
  <si>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</si>
  <si>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</si>
  <si>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</si>
  <si>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</si>
  <si>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</si>
  <si>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</si>
  <si>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</si>
  <si>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</si>
  <si>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</si>
  <si>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</si>
  <si>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</si>
  <si>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</si>
  <si>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</si>
  <si>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</si>
  <si>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</si>
  <si>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</si>
  <si>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</si>
  <si>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</si>
  <si>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</si>
  <si>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</si>
  <si>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</si>
  <si>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</si>
  <si>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</si>
  <si>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</si>
  <si>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</si>
  <si>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</si>
  <si>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</si>
  <si>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</si>
  <si>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</si>
  <si>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</si>
  <si>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</si>
  <si>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</si>
  <si>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</si>
  <si>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</si>
  <si>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</si>
  <si>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</si>
  <si>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</si>
  <si>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</si>
  <si>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</si>
  <si>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</si>
  <si>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</si>
  <si>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</si>
  <si>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</si>
  <si>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</si>
  <si>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</si>
  <si>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</si>
  <si>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</si>
  <si>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</si>
  <si>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</si>
  <si>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</si>
  <si>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</si>
  <si>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</si>
  <si>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</si>
  <si>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</si>
  <si>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</si>
  <si>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</si>
  <si>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</si>
  <si>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</si>
  <si>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</si>
  <si>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</si>
  <si>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</si>
  <si>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</si>
  <si>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</si>
  <si>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</si>
  <si>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</si>
  <si>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</si>
  <si>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</si>
  <si>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</si>
  <si>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</si>
  <si>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</si>
  <si>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</si>
  <si>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</si>
  <si>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</si>
  <si>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</si>
  <si>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</si>
  <si>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</si>
  <si>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</si>
  <si>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</si>
  <si>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</si>
  <si>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</si>
  <si>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</si>
  <si>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</si>
  <si>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</si>
  <si>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</si>
  <si>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</si>
  <si>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</si>
  <si>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</si>
  <si>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</si>
  <si>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</si>
  <si>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</si>
  <si>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</si>
  <si>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</si>
  <si>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</si>
  <si>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</si>
  <si>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</si>
  <si>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</si>
  <si>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</si>
  <si>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</si>
  <si>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</si>
  <si>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</si>
  <si>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</si>
  <si>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</si>
  <si>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</si>
  <si>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</si>
  <si>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</si>
  <si>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</si>
  <si>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</si>
  <si>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</si>
  <si>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</si>
  <si>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</si>
  <si>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</si>
  <si>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</si>
  <si>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</si>
  <si>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</si>
  <si>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</si>
  <si>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</si>
  <si>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</si>
  <si>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</si>
  <si>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</si>
  <si>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</si>
  <si>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</si>
  <si>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</si>
  <si>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</si>
  <si>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</si>
  <si>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</si>
  <si>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</si>
  <si>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</si>
  <si>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</si>
  <si>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</si>
  <si>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</si>
  <si>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</si>
  <si>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</si>
  <si>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</si>
  <si>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</si>
  <si>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</si>
  <si>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</si>
  <si>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</si>
  <si>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</si>
  <si>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</si>
  <si>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</si>
  <si>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</si>
  <si>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</si>
  <si>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</si>
  <si>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</si>
  <si>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</si>
  <si>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</si>
  <si>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</si>
  <si>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</si>
  <si>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</si>
  <si>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</si>
  <si>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</si>
  <si>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</si>
  <si>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</si>
  <si>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</si>
  <si>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</si>
  <si>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</si>
  <si>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</si>
  <si>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</si>
  <si>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</si>
  <si>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</si>
  <si>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</si>
  <si>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</si>
  <si>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</si>
  <si>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</si>
  <si>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</si>
  <si>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</si>
  <si>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</si>
  <si>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</si>
  <si>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</si>
  <si>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</si>
  <si>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</si>
  <si>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</si>
  <si>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</si>
  <si>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</si>
  <si>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</si>
  <si>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</si>
  <si>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</si>
  <si>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</si>
  <si>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</si>
  <si>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</si>
  <si>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</si>
  <si>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</si>
  <si>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</si>
  <si>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</si>
  <si>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</si>
  <si>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</si>
  <si>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</si>
  <si>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</si>
  <si>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</si>
  <si>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</si>
  <si>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</si>
  <si>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</si>
  <si>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</si>
  <si>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</si>
  <si>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</si>
  <si>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</si>
  <si>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</si>
  <si>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</si>
  <si>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</si>
  <si>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</si>
  <si>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</si>
  <si>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</si>
  <si>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</si>
  <si>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</si>
  <si>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</si>
  <si>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</si>
  <si>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</si>
  <si>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</si>
  <si>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</si>
  <si>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</si>
  <si>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</si>
  <si>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</si>
  <si>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</si>
  <si>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</si>
  <si>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</si>
  <si>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</si>
  <si>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</si>
  <si>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</si>
  <si>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</si>
  <si>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</si>
  <si>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</si>
  <si>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</si>
  <si>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</si>
  <si>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</si>
  <si>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</si>
  <si>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</si>
  <si>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</si>
  <si>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</si>
  <si>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</si>
  <si>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</si>
  <si>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</si>
  <si>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</si>
  <si>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</si>
  <si>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</si>
  <si>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</si>
  <si>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</si>
  <si>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</si>
  <si>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</si>
  <si>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</si>
  <si>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</si>
  <si>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</si>
  <si>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</si>
  <si>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</si>
  <si>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</si>
  <si>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</si>
  <si>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</si>
  <si>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</si>
  <si>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</si>
  <si>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</si>
  <si>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</si>
  <si>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</si>
  <si>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</si>
  <si>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</si>
  <si>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</si>
  <si>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</si>
  <si>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</si>
  <si>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</si>
  <si>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</si>
  <si>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</si>
  <si>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</si>
  <si>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</si>
  <si>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</si>
  <si>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</si>
  <si>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</si>
  <si>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</si>
  <si>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</si>
  <si>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</si>
  <si>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</si>
  <si>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</si>
  <si>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</si>
  <si>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</si>
  <si>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</si>
  <si>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</si>
  <si>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</si>
  <si>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</si>
  <si>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</si>
  <si>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</si>
  <si>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</si>
  <si>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</si>
  <si>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</si>
  <si>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</si>
  <si>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</si>
  <si>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</si>
  <si>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</si>
  <si>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</si>
  <si>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</si>
  <si>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</si>
  <si>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</si>
  <si>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</si>
  <si>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</si>
  <si>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</si>
  <si>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</si>
  <si>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</si>
  <si>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</si>
  <si>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</si>
  <si>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</si>
  <si>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</si>
  <si>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</si>
  <si>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</si>
  <si>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</si>
  <si>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</si>
  <si>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</si>
  <si>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</si>
  <si>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</si>
  <si>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</si>
  <si>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</si>
  <si>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</si>
  <si>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</si>
  <si>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</si>
  <si>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</si>
  <si>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</si>
  <si>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</si>
  <si>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</si>
  <si>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</si>
  <si>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</si>
  <si>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</si>
  <si>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</si>
  <si>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</si>
  <si>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</si>
  <si>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</si>
  <si>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</si>
  <si>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</si>
  <si>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</si>
  <si>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</si>
  <si>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</si>
  <si>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</si>
  <si>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</si>
  <si>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</si>
  <si>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</si>
  <si>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</si>
  <si>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</si>
  <si>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</si>
  <si>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</si>
  <si>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</si>
  <si>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</si>
  <si>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</si>
  <si>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</si>
  <si>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</si>
  <si>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</si>
  <si>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</si>
  <si>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</si>
  <si>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</si>
  <si>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</si>
  <si>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</si>
  <si>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</si>
  <si>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</si>
  <si>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</si>
  <si>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</si>
  <si>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</si>
  <si>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</si>
  <si>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</si>
  <si>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</si>
  <si>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</si>
  <si>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</si>
  <si>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</si>
  <si>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</si>
  <si>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</si>
  <si>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</si>
  <si>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</si>
  <si>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</si>
  <si>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</si>
  <si>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</si>
  <si>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</si>
  <si>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</si>
  <si>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</si>
  <si>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</si>
  <si>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</si>
  <si>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</si>
  <si>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</si>
  <si>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</si>
  <si>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</si>
  <si>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</si>
  <si>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</si>
  <si>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</si>
  <si>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</si>
  <si>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</si>
  <si>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</si>
  <si>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</si>
  <si>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</si>
  <si>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</si>
  <si>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</si>
  <si>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</si>
  <si>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</si>
  <si>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</si>
  <si>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</si>
  <si>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</si>
  <si>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</si>
  <si>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</si>
  <si>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</si>
  <si>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</si>
  <si>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</si>
  <si>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</si>
  <si>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</si>
  <si>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</si>
  <si>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</si>
  <si>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</si>
  <si>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</si>
  <si>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</si>
  <si>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</si>
  <si>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</si>
  <si>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</si>
  <si>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</si>
  <si>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</si>
  <si>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</si>
  <si>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</si>
  <si>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</si>
  <si>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</si>
  <si>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</si>
  <si>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</si>
  <si>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</si>
  <si>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</si>
  <si>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</si>
  <si>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</si>
  <si>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</si>
  <si>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</si>
  <si>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</si>
  <si>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</si>
  <si>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</si>
  <si>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</si>
  <si>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</si>
  <si>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</si>
  <si>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</si>
  <si>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</si>
  <si>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</si>
  <si>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</si>
  <si>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</si>
  <si>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</si>
  <si>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</si>
  <si>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</si>
  <si>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</si>
  <si>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</si>
  <si>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</si>
  <si>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</si>
  <si>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</si>
  <si>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</si>
  <si>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</si>
  <si>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</si>
  <si>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</si>
  <si>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</si>
  <si>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</si>
  <si>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</si>
  <si>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</si>
  <si>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</si>
  <si>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</si>
  <si>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</si>
  <si>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</si>
  <si>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</si>
  <si>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</si>
  <si>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</si>
  <si>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</si>
  <si>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</si>
  <si>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</si>
  <si>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</si>
  <si>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</si>
  <si>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</si>
  <si>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</si>
  <si>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</si>
  <si>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</si>
  <si>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</si>
  <si>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</si>
  <si>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</si>
  <si>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</si>
  <si>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</si>
  <si>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</si>
  <si>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</si>
  <si>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</si>
  <si>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</si>
  <si>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</si>
  <si>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</si>
  <si>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</si>
  <si>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</si>
  <si>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</si>
  <si>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</si>
  <si>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</si>
  <si>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</si>
  <si>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</si>
  <si>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</si>
  <si>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</si>
  <si>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</si>
  <si>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</si>
  <si>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</si>
  <si>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</si>
  <si>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</si>
  <si>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</si>
  <si>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</si>
  <si>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</si>
  <si>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</si>
  <si>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</si>
  <si>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</si>
  <si>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</si>
  <si>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</si>
  <si>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</si>
  <si>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</si>
  <si>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</si>
  <si>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</si>
  <si>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</si>
  <si>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</si>
  <si>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</si>
  <si>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</si>
  <si>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</si>
  <si>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</si>
  <si>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</si>
  <si>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</si>
  <si>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</si>
  <si>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</si>
  <si>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</si>
  <si>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</si>
  <si>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</si>
  <si>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</si>
  <si>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</si>
  <si>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</si>
  <si>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</si>
  <si>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</si>
  <si>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</si>
  <si>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</si>
  <si>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</si>
  <si>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</si>
  <si>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</si>
  <si>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</si>
  <si>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</si>
  <si>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</si>
  <si>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</si>
  <si>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</si>
  <si>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</si>
  <si>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</si>
  <si>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</si>
  <si>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</si>
  <si>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</si>
  <si>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</si>
  <si>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</si>
  <si>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</si>
  <si>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</si>
  <si>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</si>
  <si>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</si>
  <si>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</si>
  <si>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</si>
  <si>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</si>
  <si>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</si>
  <si>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</si>
  <si>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</si>
  <si>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</si>
  <si>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</si>
  <si>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</si>
  <si>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</si>
  <si>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</si>
  <si>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</si>
  <si>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</si>
  <si>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</si>
  <si>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</si>
  <si>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</si>
  <si>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</si>
  <si>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</si>
  <si>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</si>
  <si>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</si>
  <si>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</si>
  <si>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</si>
  <si>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</si>
  <si>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</si>
  <si>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</si>
  <si>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</si>
  <si>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</si>
  <si>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</si>
  <si>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</si>
  <si>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</si>
  <si>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</si>
  <si>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</si>
  <si>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</si>
  <si>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</si>
  <si>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</si>
  <si>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</si>
  <si>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</si>
  <si>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</si>
  <si>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</si>
  <si>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</si>
  <si>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</si>
  <si>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</si>
  <si>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</si>
  <si>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</si>
  <si>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</si>
  <si>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</si>
  <si>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</si>
  <si>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</si>
  <si>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</si>
  <si>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Office Furniture &amp; Fixtures</t>
  </si>
  <si>
    <t>Computer and IT Related Services</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</si>
  <si>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</si>
  <si>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</si>
  <si>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</si>
  <si>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</si>
  <si>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</si>
  <si>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</si>
  <si>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</si>
  <si>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</si>
  <si>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</si>
  <si>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</si>
  <si>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</si>
  <si>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</si>
  <si>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</si>
  <si>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</si>
  <si>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</si>
  <si>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</si>
  <si>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</si>
  <si>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</si>
  <si>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</si>
  <si>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</si>
  <si>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</si>
  <si>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</si>
  <si>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</si>
  <si>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</si>
  <si>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</si>
  <si>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</si>
  <si>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</si>
  <si>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</si>
  <si>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OR 1 Tons/Per Hours</t>
  </si>
  <si>
    <t>IGST@18</t>
  </si>
  <si>
    <t xml:space="preserve"> </t>
  </si>
  <si>
    <t>Paddy</t>
  </si>
  <si>
    <t>Shed for Oil Mill Unit</t>
  </si>
  <si>
    <t>Commercial Expeller Tiny/Small/Mini Oil</t>
  </si>
  <si>
    <t>Faclitiy 2 - Processing Unit- Oil Mill Unit</t>
  </si>
  <si>
    <t>1 TPH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</si>
</sst>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
      <b/>
      <sz val="12"/>
      <color rgb="FFFF0000"/>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48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43" fontId="26" fillId="0" borderId="0" xfId="0" applyNumberFormat="1" applyFont="1" applyBorder="1"/>
    <xf numFmtId="1" fontId="26" fillId="0" borderId="0" xfId="0" applyNumberFormat="1" applyFont="1" applyBorder="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43"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43"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6"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2" fillId="0" borderId="0" xfId="0" applyFont="1" applyAlignment="1">
      <alignment horizontal="center"/>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xf numFmtId="0" fontId="68" fillId="0" borderId="0" xfId="0" applyFont="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workbookViewId="0">
      <selection activeCell="A4" sqref="A4:E4"/>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3" t="s">
        <v>635</v>
      </c>
      <c r="B1" s="393"/>
      <c r="C1" s="393"/>
      <c r="D1" s="393"/>
      <c r="E1" s="393"/>
    </row>
    <row r="2" spans="1:5" ht="26.25" customHeight="1">
      <c r="A2" s="394" t="s">
        <v>631</v>
      </c>
      <c r="B2" s="394"/>
      <c r="C2" s="394"/>
      <c r="D2" s="394"/>
      <c r="E2" s="394"/>
    </row>
    <row r="3" spans="1:5" ht="23.25" customHeight="1">
      <c r="A3" s="395" t="s">
        <v>602</v>
      </c>
      <c r="B3" s="395"/>
      <c r="C3" s="395"/>
      <c r="D3" s="395"/>
      <c r="E3" s="395"/>
    </row>
    <row r="4" spans="1:5" ht="240.75" customHeight="1">
      <c r="A4" s="396" t="s">
        <v>636</v>
      </c>
      <c r="B4" s="396"/>
      <c r="C4" s="396"/>
      <c r="D4" s="396"/>
      <c r="E4" s="396"/>
    </row>
    <row r="5" spans="1:5" ht="23.25" customHeight="1">
      <c r="A5" s="395" t="s">
        <v>603</v>
      </c>
      <c r="B5" s="395"/>
      <c r="C5" s="395"/>
      <c r="D5" s="395"/>
      <c r="E5" s="395"/>
    </row>
    <row r="6" spans="1:5" ht="108" customHeight="1">
      <c r="A6" s="403" t="s">
        <v>674</v>
      </c>
      <c r="B6" s="404"/>
      <c r="C6" s="404"/>
      <c r="D6" s="404"/>
      <c r="E6" s="405"/>
    </row>
    <row r="7" spans="1:5" ht="23.25" customHeight="1">
      <c r="A7" s="406" t="s">
        <v>637</v>
      </c>
      <c r="B7" s="406"/>
      <c r="C7" s="406"/>
      <c r="D7" s="406"/>
      <c r="E7" s="406"/>
    </row>
    <row r="8" spans="1:5" ht="125.25" customHeight="1">
      <c r="A8" s="396" t="s">
        <v>673</v>
      </c>
      <c r="B8" s="396"/>
      <c r="C8" s="396"/>
      <c r="D8" s="396"/>
      <c r="E8" s="396"/>
    </row>
    <row r="9" spans="1:5" ht="23.25">
      <c r="A9" s="395" t="s">
        <v>628</v>
      </c>
      <c r="B9" s="395"/>
      <c r="C9" s="395"/>
      <c r="D9" s="395"/>
      <c r="E9" s="395"/>
    </row>
    <row r="10" spans="1:5">
      <c r="A10" s="358" t="s">
        <v>604</v>
      </c>
      <c r="B10" s="358" t="s">
        <v>149</v>
      </c>
    </row>
    <row r="11" spans="1:5" ht="20.25" customHeight="1">
      <c r="A11" s="362"/>
      <c r="B11" s="407" t="s">
        <v>404</v>
      </c>
      <c r="C11" s="408"/>
      <c r="D11" s="408"/>
      <c r="E11" s="409"/>
    </row>
    <row r="12" spans="1:5">
      <c r="A12" s="363"/>
      <c r="B12" s="397" t="s">
        <v>405</v>
      </c>
      <c r="C12" s="397"/>
      <c r="D12" s="397"/>
      <c r="E12" s="397"/>
    </row>
    <row r="13" spans="1:5" s="367" customFormat="1">
      <c r="A13" s="398"/>
      <c r="B13" s="398"/>
      <c r="C13" s="398"/>
      <c r="D13" s="398"/>
      <c r="E13" s="399"/>
    </row>
    <row r="14" spans="1:5" ht="23.25">
      <c r="A14" s="395" t="s">
        <v>629</v>
      </c>
      <c r="B14" s="395"/>
      <c r="C14" s="395"/>
      <c r="D14" s="395"/>
      <c r="E14" s="395"/>
    </row>
    <row r="15" spans="1:5">
      <c r="A15" s="359" t="s">
        <v>600</v>
      </c>
      <c r="B15" s="359" t="s">
        <v>638</v>
      </c>
      <c r="C15" s="359" t="s">
        <v>456</v>
      </c>
      <c r="D15" s="359" t="s">
        <v>608</v>
      </c>
      <c r="E15" s="359" t="s">
        <v>601</v>
      </c>
    </row>
    <row r="16" spans="1:5">
      <c r="A16" s="368" t="s">
        <v>171</v>
      </c>
      <c r="B16" s="368" t="s">
        <v>639</v>
      </c>
      <c r="C16" s="368"/>
      <c r="D16" s="368"/>
      <c r="E16" s="368"/>
    </row>
    <row r="17" spans="1:5" ht="60">
      <c r="A17" s="369" t="s">
        <v>618</v>
      </c>
      <c r="B17" s="360" t="s">
        <v>625</v>
      </c>
      <c r="C17" s="360" t="s">
        <v>670</v>
      </c>
      <c r="D17" s="360" t="s">
        <v>640</v>
      </c>
      <c r="E17" s="360"/>
    </row>
    <row r="18" spans="1:5" ht="90">
      <c r="A18" s="369" t="s">
        <v>619</v>
      </c>
      <c r="B18" s="360" t="s">
        <v>605</v>
      </c>
      <c r="C18" s="360" t="s">
        <v>671</v>
      </c>
      <c r="D18" s="360" t="s">
        <v>641</v>
      </c>
      <c r="E18" s="360"/>
    </row>
    <row r="19" spans="1:5" ht="26.25" customHeight="1">
      <c r="A19" s="369" t="s">
        <v>620</v>
      </c>
      <c r="B19" s="361" t="s">
        <v>632</v>
      </c>
      <c r="C19" s="360" t="s">
        <v>642</v>
      </c>
      <c r="D19" s="360" t="s">
        <v>643</v>
      </c>
      <c r="E19" s="360" t="s">
        <v>630</v>
      </c>
    </row>
    <row r="20" spans="1:5" ht="30">
      <c r="A20" s="369" t="s">
        <v>621</v>
      </c>
      <c r="B20" s="360" t="s">
        <v>672</v>
      </c>
      <c r="C20" s="360"/>
      <c r="D20" s="360"/>
      <c r="E20" s="360"/>
    </row>
    <row r="21" spans="1:5">
      <c r="A21" s="360">
        <v>4.0999999999999996</v>
      </c>
      <c r="B21" s="360" t="s">
        <v>612</v>
      </c>
      <c r="C21" s="400" t="s">
        <v>644</v>
      </c>
      <c r="D21" s="360" t="s">
        <v>645</v>
      </c>
      <c r="E21" s="360"/>
    </row>
    <row r="22" spans="1:5" ht="30">
      <c r="A22" s="360">
        <v>4.2</v>
      </c>
      <c r="B22" s="360" t="s">
        <v>616</v>
      </c>
      <c r="C22" s="401"/>
      <c r="D22" s="360" t="s">
        <v>646</v>
      </c>
      <c r="E22" s="360"/>
    </row>
    <row r="23" spans="1:5">
      <c r="A23" s="360">
        <v>4.3</v>
      </c>
      <c r="B23" s="360" t="s">
        <v>613</v>
      </c>
      <c r="C23" s="401"/>
      <c r="D23" s="360" t="s">
        <v>647</v>
      </c>
      <c r="E23" s="360"/>
    </row>
    <row r="24" spans="1:5">
      <c r="A24" s="360">
        <v>4.4000000000000004</v>
      </c>
      <c r="B24" s="360" t="s">
        <v>614</v>
      </c>
      <c r="C24" s="401"/>
      <c r="D24" s="360" t="s">
        <v>648</v>
      </c>
      <c r="E24" s="360"/>
    </row>
    <row r="25" spans="1:5">
      <c r="A25" s="360">
        <v>4.5</v>
      </c>
      <c r="B25" s="360" t="s">
        <v>615</v>
      </c>
      <c r="C25" s="401"/>
      <c r="D25" s="360" t="s">
        <v>649</v>
      </c>
      <c r="E25" s="360"/>
    </row>
    <row r="26" spans="1:5">
      <c r="A26" s="360">
        <v>4.5999999999999996</v>
      </c>
      <c r="B26" s="360" t="s">
        <v>617</v>
      </c>
      <c r="C26" s="402"/>
      <c r="D26" s="360" t="s">
        <v>650</v>
      </c>
      <c r="E26" s="360"/>
    </row>
    <row r="27" spans="1:5" ht="45">
      <c r="A27" s="369" t="s">
        <v>622</v>
      </c>
      <c r="B27" s="360" t="s">
        <v>606</v>
      </c>
      <c r="C27" s="360" t="s">
        <v>651</v>
      </c>
      <c r="D27" s="360" t="s">
        <v>676</v>
      </c>
      <c r="E27" s="360"/>
    </row>
    <row r="28" spans="1:5" ht="60">
      <c r="A28" s="369" t="s">
        <v>623</v>
      </c>
      <c r="B28" s="360" t="s">
        <v>652</v>
      </c>
      <c r="C28" s="360" t="s">
        <v>653</v>
      </c>
      <c r="D28" s="360" t="s">
        <v>654</v>
      </c>
      <c r="E28" s="360"/>
    </row>
    <row r="29" spans="1:5" ht="45">
      <c r="A29" s="369" t="s">
        <v>624</v>
      </c>
      <c r="B29" s="360" t="s">
        <v>607</v>
      </c>
      <c r="C29" s="360" t="s">
        <v>655</v>
      </c>
      <c r="D29" s="360" t="s">
        <v>656</v>
      </c>
      <c r="E29" s="360"/>
    </row>
    <row r="30" spans="1:5">
      <c r="A30" s="368" t="s">
        <v>172</v>
      </c>
      <c r="B30" s="370" t="s">
        <v>657</v>
      </c>
      <c r="C30" s="368"/>
      <c r="D30" s="368"/>
      <c r="E30" s="368"/>
    </row>
    <row r="31" spans="1:5" ht="26.25" customHeight="1">
      <c r="A31" s="371" t="s">
        <v>658</v>
      </c>
      <c r="B31" s="360" t="s">
        <v>609</v>
      </c>
      <c r="C31" s="360"/>
      <c r="D31" s="360" t="s">
        <v>659</v>
      </c>
      <c r="E31" s="360" t="s">
        <v>630</v>
      </c>
    </row>
    <row r="32" spans="1:5">
      <c r="A32" s="371" t="s">
        <v>660</v>
      </c>
      <c r="B32" s="360" t="s">
        <v>610</v>
      </c>
      <c r="C32" s="360"/>
      <c r="D32" s="360" t="s">
        <v>661</v>
      </c>
      <c r="E32" s="360" t="s">
        <v>630</v>
      </c>
    </row>
    <row r="33" spans="1:5">
      <c r="A33" s="371" t="s">
        <v>662</v>
      </c>
      <c r="B33" s="360" t="s">
        <v>611</v>
      </c>
      <c r="C33" s="360"/>
      <c r="D33" s="360" t="s">
        <v>663</v>
      </c>
      <c r="E33" s="360" t="s">
        <v>630</v>
      </c>
    </row>
    <row r="34" spans="1:5" ht="35.25" customHeight="1">
      <c r="A34" s="371" t="s">
        <v>664</v>
      </c>
      <c r="B34" s="360" t="s">
        <v>626</v>
      </c>
      <c r="C34" s="360"/>
      <c r="D34" s="360" t="s">
        <v>665</v>
      </c>
      <c r="E34" s="360" t="s">
        <v>630</v>
      </c>
    </row>
    <row r="35" spans="1:5" ht="35.25" customHeight="1">
      <c r="A35" s="371" t="s">
        <v>666</v>
      </c>
      <c r="B35" s="360" t="s">
        <v>667</v>
      </c>
      <c r="C35" s="360"/>
      <c r="D35" s="360" t="s">
        <v>675</v>
      </c>
      <c r="E35" s="360" t="s">
        <v>630</v>
      </c>
    </row>
    <row r="36" spans="1:5">
      <c r="A36" s="369" t="s">
        <v>668</v>
      </c>
      <c r="B36" s="360" t="s">
        <v>669</v>
      </c>
      <c r="C36" s="360"/>
      <c r="D36" s="360"/>
      <c r="E36" s="360"/>
    </row>
    <row r="37" spans="1:5" ht="21">
      <c r="A37" s="392"/>
      <c r="B37" s="392"/>
      <c r="C37" s="392"/>
      <c r="D37" s="392"/>
      <c r="E37" s="39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82" zoomScale="80" zoomScaleSheetLayoutView="80" workbookViewId="0">
      <selection activeCell="L117" sqref="L117"/>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61" t="s">
        <v>553</v>
      </c>
      <c r="C5" s="461"/>
      <c r="D5" s="461"/>
      <c r="E5" s="461"/>
      <c r="F5" s="461"/>
      <c r="G5" s="461"/>
      <c r="H5" s="461"/>
      <c r="I5" s="461"/>
      <c r="J5" s="461"/>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-962258.11751424125</v>
      </c>
      <c r="E9" s="88">
        <f>'6.Cons Profit &amp; Loss'!C49</f>
        <v>690256.16092875251</v>
      </c>
      <c r="F9" s="88">
        <f>'6.Cons Profit &amp; Loss'!D49</f>
        <v>1408396.0050401357</v>
      </c>
      <c r="G9" s="88">
        <f>'6.Cons Profit &amp; Loss'!E49</f>
        <v>2199678.8481603265</v>
      </c>
      <c r="H9" s="88">
        <f>'6.Cons Profit &amp; Loss'!F49</f>
        <v>3069048.7655799519</v>
      </c>
      <c r="I9" s="88">
        <f>'6.Cons Profit &amp; Loss'!G49</f>
        <v>4036870.5976211191</v>
      </c>
      <c r="J9" s="88">
        <f>'6.Cons Profit &amp; Loss'!H49</f>
        <v>5078933.6953274701</v>
      </c>
    </row>
    <row r="10" spans="2:12">
      <c r="B10" s="87"/>
      <c r="C10" s="87"/>
      <c r="D10" s="88"/>
      <c r="E10" s="88"/>
      <c r="F10" s="88"/>
      <c r="G10" s="88"/>
      <c r="H10" s="88"/>
      <c r="I10" s="88"/>
      <c r="J10" s="88"/>
    </row>
    <row r="11" spans="2:12">
      <c r="B11" s="89" t="s">
        <v>31</v>
      </c>
      <c r="C11" s="89"/>
      <c r="D11" s="88">
        <f>'6.Cons Profit &amp; Loss'!B40</f>
        <v>169238</v>
      </c>
      <c r="E11" s="88">
        <f>'6.Cons Profit &amp; Loss'!C40</f>
        <v>169238</v>
      </c>
      <c r="F11" s="88">
        <f>'6.Cons Profit &amp; Loss'!D40</f>
        <v>169238</v>
      </c>
      <c r="G11" s="88">
        <f>'6.Cons Profit &amp; Loss'!E40</f>
        <v>169238</v>
      </c>
      <c r="H11" s="88">
        <f>'6.Cons Profit &amp; Loss'!F40</f>
        <v>169238</v>
      </c>
      <c r="I11" s="88">
        <f>'6.Cons Profit &amp; Loss'!G40</f>
        <v>169238</v>
      </c>
      <c r="J11" s="88">
        <f>'6.Cons Profit &amp; Loss'!H40</f>
        <v>169238</v>
      </c>
    </row>
    <row r="12" spans="2:12">
      <c r="B12" s="87" t="s">
        <v>36</v>
      </c>
      <c r="C12" s="87"/>
      <c r="D12" s="88">
        <f>'6.Cons Profit &amp; Loss'!B41</f>
        <v>20000</v>
      </c>
      <c r="E12" s="88">
        <f>'6.Cons Profit &amp; Loss'!C41</f>
        <v>20000</v>
      </c>
      <c r="F12" s="88">
        <f>'6.Cons Profit &amp; Loss'!D41</f>
        <v>20000</v>
      </c>
      <c r="G12" s="88">
        <f>'6.Cons Profit &amp; Loss'!E41</f>
        <v>20000</v>
      </c>
      <c r="H12" s="88">
        <f>'6.Cons Profit &amp; Loss'!F41</f>
        <v>20000</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-773020.11751424125</v>
      </c>
      <c r="E14" s="88">
        <f t="shared" ref="E14:J14" si="0">SUM(E9:E12)</f>
        <v>879494.16092875251</v>
      </c>
      <c r="F14" s="88">
        <f t="shared" si="0"/>
        <v>1597634.0050401357</v>
      </c>
      <c r="G14" s="88">
        <f t="shared" si="0"/>
        <v>2388916.8481603265</v>
      </c>
      <c r="H14" s="88">
        <f t="shared" si="0"/>
        <v>3258286.7655799519</v>
      </c>
      <c r="I14" s="88">
        <f t="shared" si="0"/>
        <v>4206108.5976211186</v>
      </c>
      <c r="J14" s="88">
        <f t="shared" si="0"/>
        <v>5248171.6953274701</v>
      </c>
    </row>
    <row r="15" spans="2:12">
      <c r="B15" s="87" t="s">
        <v>344</v>
      </c>
      <c r="C15" s="90">
        <f>-'1.Project Cost and MOF'!D13</f>
        <v>-8291714.5160978157</v>
      </c>
      <c r="D15" s="88">
        <f>D14</f>
        <v>-773020.11751424125</v>
      </c>
      <c r="E15" s="88">
        <f t="shared" ref="E15:J15" si="1">E14</f>
        <v>879494.16092875251</v>
      </c>
      <c r="F15" s="88">
        <f t="shared" si="1"/>
        <v>1597634.0050401357</v>
      </c>
      <c r="G15" s="88">
        <f t="shared" si="1"/>
        <v>2388916.8481603265</v>
      </c>
      <c r="H15" s="88">
        <f t="shared" si="1"/>
        <v>3258286.7655799519</v>
      </c>
      <c r="I15" s="88">
        <f t="shared" si="1"/>
        <v>4206108.5976211186</v>
      </c>
      <c r="J15" s="88">
        <f t="shared" si="1"/>
        <v>5248171.6953274701</v>
      </c>
    </row>
    <row r="16" spans="2:12">
      <c r="B16" s="87" t="s">
        <v>280</v>
      </c>
      <c r="C16" s="256">
        <f>IRR(C15:J15)</f>
        <v>0.1375825633126766</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0.87905707440519143</v>
      </c>
      <c r="E18" s="259">
        <f t="shared" ref="E18:J18" si="2">D18/(1+$C$16)</f>
        <v>0.77274134006181427</v>
      </c>
      <c r="F18" s="259">
        <f t="shared" si="2"/>
        <v>0.67928374166668559</v>
      </c>
      <c r="G18" s="259">
        <f t="shared" si="2"/>
        <v>0.5971291786405285</v>
      </c>
      <c r="H18" s="259">
        <f t="shared" si="2"/>
        <v>0.52491062881771788</v>
      </c>
      <c r="I18" s="259">
        <f t="shared" si="2"/>
        <v>0.4614264016926925</v>
      </c>
      <c r="J18" s="259">
        <f t="shared" si="2"/>
        <v>0.40562014272529295</v>
      </c>
      <c r="L18" s="17"/>
      <c r="M18" s="17"/>
      <c r="N18" s="17"/>
      <c r="O18" s="17"/>
      <c r="P18" s="17"/>
      <c r="Q18" s="17"/>
      <c r="R18" s="17"/>
      <c r="S18" s="17"/>
    </row>
    <row r="19" spans="2:19">
      <c r="B19" s="87" t="s">
        <v>33</v>
      </c>
      <c r="C19" s="87"/>
      <c r="D19" s="88">
        <f t="shared" ref="D19:J19" si="3">D14*D18</f>
        <v>-679528.80295842618</v>
      </c>
      <c r="E19" s="88">
        <f t="shared" si="3"/>
        <v>679621.4964926251</v>
      </c>
      <c r="F19" s="88">
        <f t="shared" si="3"/>
        <v>1085246.8047575958</v>
      </c>
      <c r="G19" s="88">
        <f t="shared" si="3"/>
        <v>1426491.9553824959</v>
      </c>
      <c r="H19" s="88">
        <f t="shared" si="3"/>
        <v>1710309.3549890206</v>
      </c>
      <c r="I19" s="88">
        <f t="shared" si="3"/>
        <v>1940809.5553290099</v>
      </c>
      <c r="J19" s="88">
        <f t="shared" si="3"/>
        <v>2128764.1521055712</v>
      </c>
      <c r="L19" s="6"/>
    </row>
    <row r="20" spans="2:19">
      <c r="B20" s="87" t="s">
        <v>34</v>
      </c>
      <c r="C20" s="87"/>
      <c r="D20" s="456">
        <f>SUM(D19:J19)</f>
        <v>8291714.5160978921</v>
      </c>
      <c r="E20" s="456"/>
      <c r="F20" s="456"/>
      <c r="G20" s="456"/>
      <c r="H20" s="456"/>
      <c r="I20" s="456"/>
      <c r="J20" s="456"/>
      <c r="L20" s="6"/>
    </row>
    <row r="21" spans="2:19">
      <c r="B21" s="87"/>
      <c r="C21" s="87"/>
      <c r="D21" s="88"/>
      <c r="E21" s="88"/>
      <c r="F21" s="88"/>
      <c r="G21" s="88"/>
      <c r="H21" s="88"/>
      <c r="I21" s="88"/>
      <c r="J21" s="88"/>
    </row>
    <row r="22" spans="2:19">
      <c r="B22" s="9" t="s">
        <v>35</v>
      </c>
      <c r="C22" s="9"/>
      <c r="D22" s="457">
        <f>'1.Project Cost and MOF'!D13</f>
        <v>8291714.5160978157</v>
      </c>
      <c r="E22" s="457"/>
      <c r="F22" s="457"/>
      <c r="G22" s="457"/>
      <c r="H22" s="457"/>
      <c r="I22" s="457"/>
      <c r="J22" s="457"/>
    </row>
    <row r="23" spans="2:19">
      <c r="F23" s="17">
        <f>D20-D22</f>
        <v>7.6368451118469238E-8</v>
      </c>
    </row>
    <row r="24" spans="2:19" ht="29.45" customHeight="1">
      <c r="B24" s="462" t="s">
        <v>424</v>
      </c>
      <c r="C24" s="462"/>
      <c r="D24" s="462"/>
      <c r="E24" s="462"/>
      <c r="F24" s="462"/>
      <c r="G24" s="462"/>
      <c r="H24" s="462"/>
      <c r="I24" s="462"/>
      <c r="J24" s="462"/>
    </row>
    <row r="25" spans="2:19">
      <c r="K25" s="17"/>
      <c r="L25" s="17"/>
      <c r="M25" s="17"/>
    </row>
    <row r="26" spans="2:19" ht="18.75">
      <c r="B26" s="413" t="s">
        <v>554</v>
      </c>
      <c r="C26" s="413"/>
      <c r="D26" s="413"/>
      <c r="E26" s="413"/>
      <c r="F26" s="413"/>
      <c r="G26" s="413"/>
      <c r="H26" s="413"/>
      <c r="I26" s="413"/>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13579324.667999998</v>
      </c>
      <c r="D32" s="95">
        <f>'6.Cons Profit &amp; Loss'!C6</f>
        <v>26089407.810899995</v>
      </c>
      <c r="E32" s="95">
        <f>'6.Cons Profit &amp; Loss'!D6</f>
        <v>31543657.750394993</v>
      </c>
      <c r="F32" s="95">
        <f>'6.Cons Profit &amp; Loss'!E6</f>
        <v>37478109.164312243</v>
      </c>
      <c r="G32" s="95">
        <f>'6.Cons Profit &amp; Loss'!F6</f>
        <v>43927146.575245246</v>
      </c>
      <c r="H32" s="95">
        <f>'6.Cons Profit &amp; Loss'!G6</f>
        <v>50927392.454360746</v>
      </c>
      <c r="I32" s="95">
        <f>'6.Cons Profit &amp; Loss'!H6</f>
        <v>58517845.054949701</v>
      </c>
    </row>
    <row r="33" spans="2:9">
      <c r="B33" s="109" t="str">
        <f>'6.Cons Profit &amp; Loss'!A7</f>
        <v>Faclitiy 2 - Processing Unit- Oil Mill Unit</v>
      </c>
      <c r="C33" s="95">
        <f>'6.Cons Profit &amp; Loss'!B7</f>
        <v>657284.70360000001</v>
      </c>
      <c r="D33" s="95">
        <f>'6.Cons Profit &amp; Loss'!C7</f>
        <v>1065057.3756900001</v>
      </c>
      <c r="E33" s="95">
        <f>'6.Cons Profit &amp; Loss'!D7</f>
        <v>1496301.2702819998</v>
      </c>
      <c r="F33" s="95">
        <f>'6.Cons Profit &amp; Loss'!E7</f>
        <v>1968006.9108939753</v>
      </c>
      <c r="G33" s="95">
        <f>'6.Cons Profit &amp; Loss'!F7</f>
        <v>2483142.3623914435</v>
      </c>
      <c r="H33" s="95">
        <f>'6.Cons Profit &amp; Loss'!G7</f>
        <v>3044871.3417614223</v>
      </c>
      <c r="I33" s="95">
        <f>'6.Cons Profit &amp; Loss'!H7</f>
        <v>3656565.3631624207</v>
      </c>
    </row>
    <row r="34" spans="2:9">
      <c r="B34" s="109" t="str">
        <f>'6.Cons Profit &amp; Loss'!A8</f>
        <v>Faclitiy 3 - Warehouse</v>
      </c>
      <c r="C34" s="95">
        <f>'6.Cons Profit &amp; Loss'!B8</f>
        <v>0</v>
      </c>
      <c r="D34" s="95">
        <f>'6.Cons Profit &amp; Loss'!C8</f>
        <v>0</v>
      </c>
      <c r="E34" s="95">
        <f>'6.Cons Profit &amp; Loss'!D8</f>
        <v>0</v>
      </c>
      <c r="F34" s="95">
        <f>'6.Cons Profit &amp; Loss'!E8</f>
        <v>0</v>
      </c>
      <c r="G34" s="95">
        <f>'6.Cons Profit &amp; Loss'!F8</f>
        <v>0</v>
      </c>
      <c r="H34" s="95">
        <f>'6.Cons Profit &amp; Loss'!G8</f>
        <v>0</v>
      </c>
      <c r="I34" s="95">
        <f>'6.Cons Profit &amp; Loss'!H8</f>
        <v>0</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14236609.371599998</v>
      </c>
      <c r="D39" s="95">
        <f t="shared" ref="D39:I39" si="4">SUM(D32:D38)</f>
        <v>27154465.186589994</v>
      </c>
      <c r="E39" s="95">
        <f t="shared" si="4"/>
        <v>33039959.020676993</v>
      </c>
      <c r="F39" s="95">
        <f t="shared" si="4"/>
        <v>39446116.07520622</v>
      </c>
      <c r="G39" s="95">
        <f t="shared" si="4"/>
        <v>46410288.937636688</v>
      </c>
      <c r="H39" s="95">
        <f t="shared" si="4"/>
        <v>53972263.796122171</v>
      </c>
      <c r="I39" s="95">
        <f t="shared" si="4"/>
        <v>62174410.418112122</v>
      </c>
    </row>
    <row r="40" spans="2:9">
      <c r="B40" s="94"/>
      <c r="C40" s="95"/>
      <c r="D40" s="95"/>
      <c r="E40" s="95"/>
      <c r="F40" s="95"/>
      <c r="G40" s="95"/>
      <c r="H40" s="95"/>
      <c r="I40" s="95"/>
    </row>
    <row r="41" spans="2:9">
      <c r="B41" s="94" t="s">
        <v>38</v>
      </c>
      <c r="C41" s="95">
        <f>'6.Cons Profit &amp; Loss'!B23</f>
        <v>11299270.595287494</v>
      </c>
      <c r="D41" s="95">
        <f>'6.Cons Profit &amp; Loss'!C23</f>
        <v>21299907.014078438</v>
      </c>
      <c r="E41" s="95">
        <f>'6.Cons Profit &amp; Loss'!D23</f>
        <v>25777200.155718368</v>
      </c>
      <c r="F41" s="95">
        <f>'6.Cons Profit &amp; Loss'!E23</f>
        <v>30648972.843987104</v>
      </c>
      <c r="G41" s="95">
        <f>'6.Cons Profit &amp; Loss'!F23</f>
        <v>35943479.800693415</v>
      </c>
      <c r="H41" s="95">
        <f>'6.Cons Profit &amp; Loss'!G23</f>
        <v>41690815.020960398</v>
      </c>
      <c r="I41" s="95">
        <f>'6.Cons Profit &amp; Loss'!H23</f>
        <v>47923025.063752331</v>
      </c>
    </row>
    <row r="42" spans="2:9">
      <c r="B42" s="94"/>
      <c r="C42" s="95"/>
      <c r="D42" s="95"/>
      <c r="E42" s="95"/>
      <c r="F42" s="95"/>
      <c r="G42" s="95"/>
      <c r="H42" s="95"/>
      <c r="I42" s="95"/>
    </row>
    <row r="43" spans="2:9">
      <c r="B43" s="96" t="s">
        <v>39</v>
      </c>
      <c r="C43" s="114">
        <f>C39-C41</f>
        <v>2937338.776312504</v>
      </c>
      <c r="D43" s="114">
        <f t="shared" ref="D43:I43" si="5">D39-D41</f>
        <v>5854558.1725115553</v>
      </c>
      <c r="E43" s="114">
        <f t="shared" si="5"/>
        <v>7262758.8649586253</v>
      </c>
      <c r="F43" s="114">
        <f t="shared" si="5"/>
        <v>8797143.2312191166</v>
      </c>
      <c r="G43" s="114">
        <f t="shared" si="5"/>
        <v>10466809.136943273</v>
      </c>
      <c r="H43" s="114">
        <f t="shared" si="5"/>
        <v>12281448.775161773</v>
      </c>
      <c r="I43" s="114">
        <f t="shared" si="5"/>
        <v>14251385.354359791</v>
      </c>
    </row>
    <row r="44" spans="2:9">
      <c r="B44" s="94"/>
      <c r="C44" s="95"/>
      <c r="D44" s="95"/>
      <c r="E44" s="95"/>
      <c r="F44" s="95"/>
      <c r="G44" s="95"/>
      <c r="H44" s="95"/>
      <c r="I44" s="95"/>
    </row>
    <row r="45" spans="2:9">
      <c r="B45" s="96" t="s">
        <v>41</v>
      </c>
      <c r="C45" s="114">
        <f>'6.Cons Profit &amp; Loss'!B34+'6.Cons Profit &amp; Loss'!B40+'6.Cons Profit &amp; Loss'!B41</f>
        <v>3569238</v>
      </c>
      <c r="D45" s="114">
        <f>'6.Cons Profit &amp; Loss'!C34+'6.Cons Profit &amp; Loss'!C40+'6.Cons Profit &amp; Loss'!C41</f>
        <v>3738238</v>
      </c>
      <c r="E45" s="114">
        <f>'6.Cons Profit &amp; Loss'!D34+'6.Cons Profit &amp; Loss'!D40+'6.Cons Profit &amp; Loss'!D41</f>
        <v>3915688</v>
      </c>
      <c r="F45" s="114">
        <f>'6.Cons Profit &amp; Loss'!E34+'6.Cons Profit &amp; Loss'!E40+'6.Cons Profit &amp; Loss'!E41</f>
        <v>4102010.5000000009</v>
      </c>
      <c r="G45" s="114">
        <f>'6.Cons Profit &amp; Loss'!F34+'6.Cons Profit &amp; Loss'!F40+'6.Cons Profit &amp; Loss'!F41</f>
        <v>4297649.1250000009</v>
      </c>
      <c r="H45" s="114">
        <f>'6.Cons Profit &amp; Loss'!G34+'6.Cons Profit &amp; Loss'!G40+'6.Cons Profit &amp; Loss'!G41</f>
        <v>4483069.6812500004</v>
      </c>
      <c r="I45" s="114">
        <f>'6.Cons Profit &amp; Loss'!H34+'6.Cons Profit &amp; Loss'!H40+'6.Cons Profit &amp; Loss'!H41</f>
        <v>4698761.2653125012</v>
      </c>
    </row>
    <row r="46" spans="2:9">
      <c r="B46" s="94"/>
      <c r="C46" s="94"/>
      <c r="D46" s="94"/>
      <c r="E46" s="94"/>
      <c r="F46" s="94"/>
      <c r="G46" s="94"/>
      <c r="H46" s="94"/>
      <c r="I46" s="94"/>
    </row>
    <row r="47" spans="2:9">
      <c r="B47" s="94" t="s">
        <v>40</v>
      </c>
      <c r="C47" s="113">
        <f>C45/C43</f>
        <v>1.2151264364816556</v>
      </c>
      <c r="D47" s="113">
        <f>D45/D43</f>
        <v>0.6385175259769138</v>
      </c>
      <c r="E47" s="113">
        <f>E45/E43</f>
        <v>0.53914608385147134</v>
      </c>
      <c r="F47" s="113">
        <f>F45/F43</f>
        <v>0.46628892950644163</v>
      </c>
      <c r="G47" s="113">
        <f>G45/G43</f>
        <v>0.41059783060638538</v>
      </c>
      <c r="H47" s="113">
        <f t="shared" ref="H47:I47" si="6">H45/H43</f>
        <v>0.36502775554596151</v>
      </c>
      <c r="I47" s="113">
        <f t="shared" si="6"/>
        <v>0.32970557938601064</v>
      </c>
    </row>
    <row r="48" spans="2:9">
      <c r="B48" s="93"/>
      <c r="C48" s="93"/>
      <c r="D48" s="93"/>
      <c r="E48" s="93"/>
      <c r="F48" s="93"/>
      <c r="G48" s="93"/>
      <c r="H48" s="93"/>
      <c r="I48" s="93"/>
    </row>
    <row r="49" spans="2:10">
      <c r="B49" s="115" t="s">
        <v>133</v>
      </c>
      <c r="C49" s="116">
        <f>AVERAGE(C47:I47)</f>
        <v>0.56634430590783424</v>
      </c>
      <c r="D49" s="93"/>
      <c r="E49" s="93"/>
      <c r="F49" s="93"/>
      <c r="G49" s="93"/>
      <c r="H49" s="93"/>
      <c r="I49" s="93"/>
    </row>
    <row r="51" spans="2:10" ht="41.45" customHeight="1">
      <c r="B51" s="463" t="s">
        <v>425</v>
      </c>
      <c r="C51" s="463"/>
      <c r="D51" s="463"/>
      <c r="E51" s="463"/>
      <c r="F51" s="463"/>
      <c r="G51" s="463"/>
      <c r="H51" s="463"/>
      <c r="I51" s="463"/>
      <c r="J51" s="463"/>
    </row>
    <row r="54" spans="2:10" ht="18.75">
      <c r="B54" s="413" t="s">
        <v>555</v>
      </c>
      <c r="C54" s="413"/>
      <c r="D54" s="413"/>
      <c r="E54" s="413"/>
      <c r="F54" s="413"/>
      <c r="G54" s="413"/>
      <c r="H54" s="413"/>
      <c r="I54" s="413"/>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-962258.11751424125</v>
      </c>
      <c r="D58" s="326">
        <f>'6.Cons Profit &amp; Loss'!C49</f>
        <v>690256.16092875251</v>
      </c>
      <c r="E58" s="326">
        <f>'6.Cons Profit &amp; Loss'!D49</f>
        <v>1408396.0050401357</v>
      </c>
      <c r="F58" s="326">
        <f>'6.Cons Profit &amp; Loss'!E49</f>
        <v>2199678.8481603265</v>
      </c>
      <c r="G58" s="326">
        <f>'6.Cons Profit &amp; Loss'!F49</f>
        <v>3069048.7655799519</v>
      </c>
      <c r="H58" s="326">
        <f>'6.Cons Profit &amp; Loss'!G49</f>
        <v>4036870.5976211191</v>
      </c>
      <c r="I58" s="326">
        <f>'6.Cons Profit &amp; Loss'!H49</f>
        <v>5078933.6953274701</v>
      </c>
    </row>
    <row r="59" spans="2:10">
      <c r="B59" s="94"/>
      <c r="C59" s="326"/>
      <c r="D59" s="326"/>
      <c r="E59" s="326"/>
      <c r="F59" s="326"/>
      <c r="G59" s="326"/>
      <c r="H59" s="326"/>
      <c r="I59" s="326"/>
    </row>
    <row r="60" spans="2:10">
      <c r="B60" s="94" t="s">
        <v>42</v>
      </c>
      <c r="C60" s="326">
        <f>'6.Cons Profit &amp; Loss'!B40</f>
        <v>169238</v>
      </c>
      <c r="D60" s="326">
        <f>'6.Cons Profit &amp; Loss'!C40</f>
        <v>169238</v>
      </c>
      <c r="E60" s="326">
        <f>'6.Cons Profit &amp; Loss'!D40</f>
        <v>169238</v>
      </c>
      <c r="F60" s="326">
        <f>'6.Cons Profit &amp; Loss'!E40</f>
        <v>169238</v>
      </c>
      <c r="G60" s="326">
        <f>'6.Cons Profit &amp; Loss'!F40</f>
        <v>169238</v>
      </c>
      <c r="H60" s="326">
        <f>'6.Cons Profit &amp; Loss'!G40</f>
        <v>169238</v>
      </c>
      <c r="I60" s="326">
        <f>'6.Cons Profit &amp; Loss'!H40</f>
        <v>169238</v>
      </c>
    </row>
    <row r="61" spans="2:10">
      <c r="B61" s="108" t="s">
        <v>48</v>
      </c>
      <c r="C61" s="326">
        <f>'6.Cons Profit &amp; Loss'!B41</f>
        <v>20000</v>
      </c>
      <c r="D61" s="326">
        <f>'6.Cons Profit &amp; Loss'!C41</f>
        <v>20000</v>
      </c>
      <c r="E61" s="326">
        <f>'6.Cons Profit &amp; Loss'!D41</f>
        <v>20000</v>
      </c>
      <c r="F61" s="326">
        <f>'6.Cons Profit &amp; Loss'!E41</f>
        <v>20000</v>
      </c>
      <c r="G61" s="326">
        <f>'6.Cons Profit &amp; Loss'!F41</f>
        <v>20000</v>
      </c>
      <c r="H61" s="326">
        <f>'6.Cons Profit &amp; Loss'!G41</f>
        <v>0</v>
      </c>
      <c r="I61" s="326">
        <f>'6.Cons Profit &amp; Loss'!H41</f>
        <v>0</v>
      </c>
    </row>
    <row r="62" spans="2:10">
      <c r="B62" s="94"/>
      <c r="C62" s="326"/>
      <c r="D62" s="326"/>
      <c r="E62" s="326"/>
      <c r="F62" s="326"/>
      <c r="G62" s="326"/>
      <c r="H62" s="326"/>
      <c r="I62" s="326"/>
    </row>
    <row r="63" spans="2:10">
      <c r="B63" s="94" t="s">
        <v>32</v>
      </c>
      <c r="C63" s="326">
        <f>SUM(C58:C61)</f>
        <v>-773020.11751424125</v>
      </c>
      <c r="D63" s="326">
        <f t="shared" ref="D63:I63" si="7">SUM(D58:D61)</f>
        <v>879494.16092875251</v>
      </c>
      <c r="E63" s="326">
        <f t="shared" si="7"/>
        <v>1597634.0050401357</v>
      </c>
      <c r="F63" s="326">
        <f t="shared" si="7"/>
        <v>2388916.8481603265</v>
      </c>
      <c r="G63" s="326">
        <f t="shared" si="7"/>
        <v>3258286.7655799519</v>
      </c>
      <c r="H63" s="326">
        <f t="shared" si="7"/>
        <v>4206108.5976211186</v>
      </c>
      <c r="I63" s="326">
        <f t="shared" si="7"/>
        <v>5248171.6953274701</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-702745.56137658295</v>
      </c>
      <c r="D67" s="95">
        <f t="shared" ref="D67:I67" si="9">D63*D65</f>
        <v>726854.67845351435</v>
      </c>
      <c r="E67" s="95">
        <f t="shared" si="9"/>
        <v>1200326.0744103196</v>
      </c>
      <c r="F67" s="95">
        <f t="shared" si="9"/>
        <v>1631662.351041818</v>
      </c>
      <c r="G67" s="95">
        <f t="shared" si="9"/>
        <v>2023139.7293900384</v>
      </c>
      <c r="H67" s="95">
        <f t="shared" si="9"/>
        <v>2374238.6503321738</v>
      </c>
      <c r="I67" s="95">
        <f t="shared" si="9"/>
        <v>2693141.9113259008</v>
      </c>
    </row>
    <row r="68" spans="2:10">
      <c r="B68" s="93"/>
      <c r="C68" s="111"/>
      <c r="D68" s="111"/>
      <c r="E68" s="111"/>
      <c r="F68" s="111"/>
      <c r="G68" s="111"/>
      <c r="H68" s="111"/>
      <c r="I68" s="111"/>
    </row>
    <row r="69" spans="2:10" ht="16.5">
      <c r="B69" s="12" t="s">
        <v>45</v>
      </c>
      <c r="C69" s="111">
        <f>SUM(C67:I67)</f>
        <v>9946617.8335771821</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8291714.5160978157</v>
      </c>
      <c r="D71" s="111"/>
      <c r="E71" s="111"/>
      <c r="F71" s="111"/>
      <c r="G71" s="111"/>
      <c r="H71" s="111"/>
      <c r="I71" s="111"/>
    </row>
    <row r="72" spans="2:10">
      <c r="B72" s="93"/>
      <c r="C72" s="110"/>
      <c r="D72" s="93"/>
      <c r="E72" s="93"/>
      <c r="F72" s="93"/>
      <c r="G72" s="93"/>
      <c r="H72" s="93"/>
      <c r="I72" s="93"/>
    </row>
    <row r="73" spans="2:10" ht="16.5">
      <c r="B73" s="12" t="s">
        <v>47</v>
      </c>
      <c r="C73" s="110">
        <f>C69-C71</f>
        <v>1654903.3174793664</v>
      </c>
      <c r="D73" s="93"/>
      <c r="E73" s="93"/>
      <c r="F73" s="93"/>
      <c r="G73" s="93"/>
      <c r="H73" s="93"/>
      <c r="I73" s="93"/>
    </row>
    <row r="75" spans="2:10" ht="35.1" customHeight="1">
      <c r="B75" s="419" t="s">
        <v>426</v>
      </c>
      <c r="C75" s="419"/>
      <c r="D75" s="419"/>
      <c r="E75" s="419"/>
      <c r="F75" s="419"/>
      <c r="G75" s="419"/>
      <c r="H75" s="419"/>
      <c r="I75" s="419"/>
      <c r="J75" s="419"/>
    </row>
    <row r="76" spans="2:10" ht="18.75">
      <c r="B76" s="413" t="s">
        <v>556</v>
      </c>
      <c r="C76" s="413"/>
      <c r="D76" s="413"/>
      <c r="E76" s="413"/>
      <c r="F76" s="413"/>
      <c r="G76" s="413"/>
      <c r="H76" s="413"/>
      <c r="I76" s="413"/>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-962258.11751424125</v>
      </c>
      <c r="D80" s="95">
        <f>'6.Cons Profit &amp; Loss'!C49</f>
        <v>690256.16092875251</v>
      </c>
      <c r="E80" s="95">
        <f>'6.Cons Profit &amp; Loss'!D49</f>
        <v>1408396.0050401357</v>
      </c>
      <c r="F80" s="95">
        <f>'6.Cons Profit &amp; Loss'!E49</f>
        <v>2199678.8481603265</v>
      </c>
      <c r="G80" s="95">
        <f>'6.Cons Profit &amp; Loss'!F49</f>
        <v>3069048.7655799519</v>
      </c>
      <c r="H80" s="95">
        <f>'6.Cons Profit &amp; Loss'!G49</f>
        <v>4036870.5976211191</v>
      </c>
      <c r="I80" s="95">
        <f>'6.Cons Profit &amp; Loss'!H49</f>
        <v>5078933.6953274701</v>
      </c>
    </row>
    <row r="81" spans="2:10">
      <c r="B81" s="94"/>
      <c r="C81" s="94"/>
      <c r="D81" s="94"/>
      <c r="E81" s="94"/>
      <c r="F81" s="94"/>
      <c r="G81" s="94"/>
      <c r="H81" s="94"/>
      <c r="I81" s="94"/>
    </row>
    <row r="82" spans="2:10">
      <c r="B82" s="96" t="s">
        <v>124</v>
      </c>
      <c r="C82" s="459">
        <f>AVERAGE(C80:I80)</f>
        <v>2217275.1364490734</v>
      </c>
      <c r="D82" s="459"/>
      <c r="E82" s="459"/>
      <c r="F82" s="459"/>
      <c r="G82" s="459"/>
      <c r="H82" s="459"/>
      <c r="I82" s="459"/>
    </row>
    <row r="83" spans="2:10">
      <c r="B83" s="96" t="s">
        <v>125</v>
      </c>
      <c r="C83" s="459">
        <f>'1.Project Cost and MOF'!D13</f>
        <v>8291714.5160978157</v>
      </c>
      <c r="D83" s="459"/>
      <c r="E83" s="459"/>
      <c r="F83" s="459"/>
      <c r="G83" s="459"/>
      <c r="H83" s="459"/>
      <c r="I83" s="459"/>
    </row>
    <row r="84" spans="2:10">
      <c r="B84" s="94"/>
      <c r="C84" s="94"/>
      <c r="D84" s="94"/>
      <c r="E84" s="94"/>
      <c r="F84" s="94"/>
      <c r="G84" s="94"/>
      <c r="H84" s="94"/>
      <c r="I84" s="94"/>
    </row>
    <row r="85" spans="2:10">
      <c r="B85" s="255" t="s">
        <v>126</v>
      </c>
      <c r="C85" s="460">
        <f>C82/C83</f>
        <v>0.26740852355015121</v>
      </c>
      <c r="D85" s="460"/>
      <c r="E85" s="460"/>
      <c r="F85" s="460"/>
      <c r="G85" s="460"/>
      <c r="H85" s="460"/>
      <c r="I85" s="460"/>
    </row>
    <row r="88" spans="2:10">
      <c r="B88" s="458" t="s">
        <v>427</v>
      </c>
      <c r="C88" s="458"/>
      <c r="D88" s="458"/>
      <c r="E88" s="458"/>
      <c r="F88" s="458"/>
      <c r="G88" s="458"/>
      <c r="H88" s="458"/>
      <c r="I88" s="458"/>
    </row>
    <row r="90" spans="2:10" ht="18.75">
      <c r="B90" s="413" t="s">
        <v>557</v>
      </c>
      <c r="C90" s="413"/>
      <c r="D90" s="413"/>
      <c r="E90" s="413"/>
      <c r="F90" s="413"/>
      <c r="G90" s="413"/>
      <c r="H90" s="413"/>
      <c r="I90" s="413"/>
      <c r="J90" s="413"/>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8291714.5160978157</v>
      </c>
      <c r="D94" s="105"/>
      <c r="E94" s="105"/>
      <c r="F94" s="105"/>
      <c r="G94" s="105"/>
      <c r="H94" s="105"/>
      <c r="I94" s="105"/>
      <c r="J94" s="105"/>
    </row>
    <row r="95" spans="2:10">
      <c r="B95" s="25" t="str">
        <f>B58</f>
        <v>Profit after Tax &amp; Dividend</v>
      </c>
      <c r="C95" s="25"/>
      <c r="D95" s="26">
        <f>'6.Cons Profit &amp; Loss'!B49</f>
        <v>-962258.11751424125</v>
      </c>
      <c r="E95" s="26">
        <f>'6.Cons Profit &amp; Loss'!C49</f>
        <v>690256.16092875251</v>
      </c>
      <c r="F95" s="26">
        <f>'6.Cons Profit &amp; Loss'!D49</f>
        <v>1408396.0050401357</v>
      </c>
      <c r="G95" s="26">
        <f>'6.Cons Profit &amp; Loss'!E49</f>
        <v>2199678.8481603265</v>
      </c>
      <c r="H95" s="26">
        <f>'6.Cons Profit &amp; Loss'!F49</f>
        <v>3069048.7655799519</v>
      </c>
      <c r="I95" s="26">
        <f>'6.Cons Profit &amp; Loss'!G49</f>
        <v>4036870.5976211191</v>
      </c>
      <c r="J95" s="26">
        <f>'6.Cons Profit &amp; Loss'!H49</f>
        <v>5078933.6953274701</v>
      </c>
    </row>
    <row r="96" spans="2:10">
      <c r="B96" s="25" t="str">
        <f>B60</f>
        <v>Add: Deprication</v>
      </c>
      <c r="C96" s="25"/>
      <c r="D96" s="91">
        <f>'6.Cons Profit &amp; Loss'!B40</f>
        <v>169238</v>
      </c>
      <c r="E96" s="91">
        <f>'6.Cons Profit &amp; Loss'!C40</f>
        <v>169238</v>
      </c>
      <c r="F96" s="91">
        <f>'6.Cons Profit &amp; Loss'!D40</f>
        <v>169238</v>
      </c>
      <c r="G96" s="91">
        <f>'6.Cons Profit &amp; Loss'!E40</f>
        <v>169238</v>
      </c>
      <c r="H96" s="91">
        <f>'6.Cons Profit &amp; Loss'!F40</f>
        <v>169238</v>
      </c>
      <c r="I96" s="91">
        <f>'6.Cons Profit &amp; Loss'!G40</f>
        <v>169238</v>
      </c>
      <c r="J96" s="91">
        <f>'6.Cons Profit &amp; Loss'!H40</f>
        <v>169238</v>
      </c>
    </row>
    <row r="97" spans="2:10">
      <c r="B97" s="25" t="str">
        <f>B61</f>
        <v>Add. Preliminary exp Written off</v>
      </c>
      <c r="C97" s="25"/>
      <c r="D97" s="91">
        <f>'6.Cons Profit &amp; Loss'!B41</f>
        <v>20000</v>
      </c>
      <c r="E97" s="91">
        <f>'6.Cons Profit &amp; Loss'!C41</f>
        <v>20000</v>
      </c>
      <c r="F97" s="91">
        <f>'6.Cons Profit &amp; Loss'!D41</f>
        <v>20000</v>
      </c>
      <c r="G97" s="91">
        <f>'6.Cons Profit &amp; Loss'!E41</f>
        <v>20000</v>
      </c>
      <c r="H97" s="91">
        <f>'6.Cons Profit &amp; Loss'!F41</f>
        <v>20000</v>
      </c>
      <c r="I97" s="91">
        <f>'6.Cons Profit &amp; Loss'!G41</f>
        <v>0</v>
      </c>
      <c r="J97" s="91">
        <f>'6.Cons Profit &amp; Loss'!H41</f>
        <v>0</v>
      </c>
    </row>
    <row r="98" spans="2:10">
      <c r="B98" s="25" t="str">
        <f>B63</f>
        <v xml:space="preserve">Net Cash Accrual (A)      </v>
      </c>
      <c r="C98" s="25"/>
      <c r="D98" s="254">
        <f>SUM(D95:D97)</f>
        <v>-773020.11751424125</v>
      </c>
      <c r="E98" s="254">
        <f t="shared" ref="E98:J98" si="10">SUM(E95:E97)</f>
        <v>879494.16092875251</v>
      </c>
      <c r="F98" s="254">
        <f t="shared" si="10"/>
        <v>1597634.0050401357</v>
      </c>
      <c r="G98" s="254">
        <f t="shared" si="10"/>
        <v>2388916.8481603265</v>
      </c>
      <c r="H98" s="254">
        <f t="shared" si="10"/>
        <v>3258286.7655799519</v>
      </c>
      <c r="I98" s="254">
        <f t="shared" si="10"/>
        <v>4206108.5976211186</v>
      </c>
      <c r="J98" s="254">
        <f t="shared" si="10"/>
        <v>5248171.6953274701</v>
      </c>
    </row>
    <row r="99" spans="2:10">
      <c r="B99" s="24" t="s">
        <v>282</v>
      </c>
      <c r="C99" s="107"/>
      <c r="D99" s="71">
        <f>D98-C94</f>
        <v>-9064734.6336120572</v>
      </c>
      <c r="E99" s="71">
        <f>D99+E98</f>
        <v>-8185240.4726833049</v>
      </c>
      <c r="F99" s="71">
        <f>E99+F98</f>
        <v>-6587606.4676431697</v>
      </c>
      <c r="G99" s="71">
        <f>F99+G98</f>
        <v>-4198689.6194828432</v>
      </c>
      <c r="H99" s="71">
        <f>G99+H98</f>
        <v>-940402.85390289128</v>
      </c>
      <c r="I99" s="92"/>
      <c r="J99" s="92"/>
    </row>
    <row r="100" spans="2:10">
      <c r="B100" s="7"/>
      <c r="C100" s="7"/>
      <c r="D100" s="7"/>
      <c r="E100" s="7"/>
      <c r="F100" s="7"/>
      <c r="G100" s="7"/>
      <c r="H100" s="7"/>
      <c r="I100" s="7"/>
      <c r="J100" s="7"/>
    </row>
    <row r="101" spans="2:10">
      <c r="B101" s="27" t="s">
        <v>283</v>
      </c>
      <c r="C101" s="7"/>
      <c r="D101" s="64">
        <f>4+(-G99/H98)</f>
        <v>5.2886188115291644</v>
      </c>
      <c r="E101" s="7"/>
      <c r="F101" s="7"/>
      <c r="G101" s="7"/>
      <c r="H101" s="7"/>
      <c r="I101" s="7"/>
      <c r="J101" s="7"/>
    </row>
    <row r="102" spans="2:10">
      <c r="B102" s="7"/>
      <c r="C102" s="7"/>
      <c r="D102" s="7"/>
      <c r="E102" s="7"/>
      <c r="F102" s="7"/>
      <c r="G102" s="7"/>
      <c r="H102" s="7"/>
      <c r="I102" s="7"/>
      <c r="J102" s="7"/>
    </row>
    <row r="103" spans="2:10">
      <c r="B103" s="458" t="s">
        <v>428</v>
      </c>
      <c r="C103" s="458"/>
      <c r="D103" s="458"/>
      <c r="E103" s="458"/>
      <c r="F103" s="458"/>
      <c r="G103" s="458"/>
      <c r="H103" s="458"/>
      <c r="I103" s="458"/>
      <c r="J103" s="458"/>
    </row>
    <row r="105" spans="2:10" ht="18.75">
      <c r="B105" s="413" t="s">
        <v>558</v>
      </c>
      <c r="C105" s="413"/>
      <c r="D105" s="413"/>
      <c r="E105" s="413"/>
      <c r="F105" s="413"/>
      <c r="G105" s="413"/>
      <c r="H105" s="413"/>
      <c r="I105" s="413"/>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-442661.22368749604</v>
      </c>
      <c r="D109" s="95">
        <f>'6.Cons Profit &amp; Loss'!C38</f>
        <v>2305558.1725115553</v>
      </c>
      <c r="E109" s="95">
        <f>'6.Cons Profit &amp; Loss'!D38</f>
        <v>3536308.8649586253</v>
      </c>
      <c r="F109" s="95">
        <f>'6.Cons Profit &amp; Loss'!E38</f>
        <v>4884370.7312191129</v>
      </c>
      <c r="G109" s="95">
        <f>'6.Cons Profit &amp; Loss'!F38</f>
        <v>6358398.0119432732</v>
      </c>
      <c r="H109" s="95">
        <f>'6.Cons Profit &amp; Loss'!G38</f>
        <v>7967617.0939117745</v>
      </c>
      <c r="I109" s="95">
        <f>'6.Cons Profit &amp; Loss'!H38</f>
        <v>9721862.0890472904</v>
      </c>
    </row>
    <row r="110" spans="2:10">
      <c r="B110" s="94" t="s">
        <v>348</v>
      </c>
      <c r="C110" s="95">
        <f>'6.Cons Profit &amp; Loss'!B40</f>
        <v>169238</v>
      </c>
      <c r="D110" s="95">
        <f>'6.Cons Profit &amp; Loss'!C40</f>
        <v>169238</v>
      </c>
      <c r="E110" s="95">
        <f>'6.Cons Profit &amp; Loss'!D40</f>
        <v>169238</v>
      </c>
      <c r="F110" s="95">
        <f>'6.Cons Profit &amp; Loss'!E40</f>
        <v>169238</v>
      </c>
      <c r="G110" s="95">
        <f>'6.Cons Profit &amp; Loss'!F40</f>
        <v>169238</v>
      </c>
      <c r="H110" s="95">
        <f>'6.Cons Profit &amp; Loss'!G40</f>
        <v>169238</v>
      </c>
      <c r="I110" s="95">
        <f>'6.Cons Profit &amp; Loss'!H40</f>
        <v>169238</v>
      </c>
    </row>
    <row r="111" spans="2:10">
      <c r="B111" s="94" t="s">
        <v>349</v>
      </c>
      <c r="C111" s="95">
        <f>'6.Cons Profit &amp; Loss'!B41</f>
        <v>20000</v>
      </c>
      <c r="D111" s="95">
        <f>'6.Cons Profit &amp; Loss'!C41</f>
        <v>20000</v>
      </c>
      <c r="E111" s="95">
        <f>'6.Cons Profit &amp; Loss'!D41</f>
        <v>20000</v>
      </c>
      <c r="F111" s="95">
        <f>'6.Cons Profit &amp; Loss'!E41</f>
        <v>20000</v>
      </c>
      <c r="G111" s="95">
        <f>'6.Cons Profit &amp; Loss'!F41</f>
        <v>20000</v>
      </c>
      <c r="H111" s="95">
        <f>'6.Cons Profit &amp; Loss'!G41</f>
        <v>0</v>
      </c>
      <c r="I111" s="95">
        <f>'6.Cons Profit &amp; Loss'!H41</f>
        <v>0</v>
      </c>
    </row>
    <row r="112" spans="2:10">
      <c r="B112" s="94" t="s">
        <v>350</v>
      </c>
      <c r="C112" s="95">
        <f>'8.Cash Flow '!C26</f>
        <v>0</v>
      </c>
      <c r="D112" s="95">
        <f>'8.Cash Flow '!D26</f>
        <v>0</v>
      </c>
      <c r="E112" s="95">
        <f>'8.Cash Flow '!E26</f>
        <v>0</v>
      </c>
      <c r="F112" s="95">
        <f>'8.Cash Flow '!F26</f>
        <v>0</v>
      </c>
      <c r="G112" s="95">
        <f>'8.Cash Flow '!G26</f>
        <v>0</v>
      </c>
      <c r="H112" s="95">
        <f>'8.Cash Flow '!H26</f>
        <v>0</v>
      </c>
      <c r="I112" s="95">
        <f>'8.Cash Flow '!I26</f>
        <v>0</v>
      </c>
    </row>
    <row r="113" spans="2:18">
      <c r="B113" s="96" t="s">
        <v>1</v>
      </c>
      <c r="C113" s="97">
        <f>SUM(C109:C112)</f>
        <v>-253423.22368749604</v>
      </c>
      <c r="D113" s="97">
        <f t="shared" ref="D113:I113" si="11">SUM(D109:D112)</f>
        <v>2494796.1725115553</v>
      </c>
      <c r="E113" s="97">
        <f t="shared" si="11"/>
        <v>3725546.8649586253</v>
      </c>
      <c r="F113" s="97">
        <f t="shared" si="11"/>
        <v>5073608.7312191129</v>
      </c>
      <c r="G113" s="97">
        <f t="shared" si="11"/>
        <v>6547636.0119432732</v>
      </c>
      <c r="H113" s="97">
        <f t="shared" si="11"/>
        <v>8136855.0939117745</v>
      </c>
      <c r="I113" s="97">
        <f t="shared" si="11"/>
        <v>9891100.0890472904</v>
      </c>
    </row>
    <row r="114" spans="2:18">
      <c r="B114" s="94"/>
      <c r="C114" s="94"/>
      <c r="D114" s="94"/>
      <c r="E114" s="94"/>
      <c r="F114" s="94"/>
      <c r="G114" s="94"/>
      <c r="H114" s="94"/>
      <c r="I114" s="94"/>
    </row>
    <row r="115" spans="2:18">
      <c r="B115" s="98" t="s">
        <v>284</v>
      </c>
      <c r="C115" s="99">
        <f>'8.Cash Flow '!C25+'8.Cash Flow '!C26</f>
        <v>0</v>
      </c>
      <c r="D115" s="99">
        <f>'8.Cash Flow '!D25+'8.Cash Flow '!D26</f>
        <v>0</v>
      </c>
      <c r="E115" s="99">
        <f>'8.Cash Flow '!E25+'8.Cash Flow '!E26</f>
        <v>0</v>
      </c>
      <c r="F115" s="99">
        <f>'8.Cash Flow '!F25+'8.Cash Flow '!F26</f>
        <v>0</v>
      </c>
      <c r="G115" s="99">
        <f>'8.Cash Flow '!G25+'8.Cash Flow '!G26</f>
        <v>0</v>
      </c>
      <c r="H115" s="99">
        <f>'8.Cash Flow '!H25+'8.Cash Flow '!H26</f>
        <v>0</v>
      </c>
      <c r="I115" s="99">
        <f>'8.Cash Flow '!I25+'8.Cash Flow '!I26</f>
        <v>0</v>
      </c>
    </row>
    <row r="116" spans="2:18">
      <c r="B116" s="94"/>
      <c r="C116" s="94"/>
      <c r="D116" s="94"/>
      <c r="E116" s="94"/>
      <c r="F116" s="94"/>
      <c r="G116" s="94"/>
      <c r="H116" s="94"/>
      <c r="I116" s="94"/>
    </row>
    <row r="117" spans="2:18">
      <c r="B117" s="100" t="s">
        <v>336</v>
      </c>
      <c r="C117" s="101" t="e">
        <f>C113/C115</f>
        <v>#DIV/0!</v>
      </c>
      <c r="D117" s="101" t="e">
        <f t="shared" ref="D117:I117" si="12">D113/D115</f>
        <v>#DIV/0!</v>
      </c>
      <c r="E117" s="101" t="e">
        <f t="shared" si="12"/>
        <v>#DIV/0!</v>
      </c>
      <c r="F117" s="101" t="e">
        <f t="shared" si="12"/>
        <v>#DIV/0!</v>
      </c>
      <c r="G117" s="101" t="e">
        <f t="shared" si="12"/>
        <v>#DIV/0!</v>
      </c>
      <c r="H117" s="101" t="e">
        <f t="shared" si="12"/>
        <v>#DIV/0!</v>
      </c>
      <c r="I117" s="101" t="e">
        <f t="shared" si="12"/>
        <v>#DIV/0!</v>
      </c>
    </row>
    <row r="118" spans="2:18">
      <c r="B118" s="93"/>
      <c r="C118" s="93"/>
      <c r="D118" s="93"/>
      <c r="E118" s="93"/>
      <c r="F118" s="93"/>
      <c r="G118" s="93"/>
      <c r="H118" s="93"/>
      <c r="I118" s="93"/>
    </row>
    <row r="119" spans="2:18">
      <c r="B119" s="93" t="s">
        <v>337</v>
      </c>
      <c r="C119" s="102" t="e">
        <f>AVERAGE(C117:I117)</f>
        <v>#DIV/0!</v>
      </c>
      <c r="D119" s="93"/>
      <c r="E119" s="93"/>
      <c r="F119" s="93"/>
      <c r="G119" s="93"/>
      <c r="H119" s="93"/>
      <c r="I119" s="93"/>
    </row>
    <row r="121" spans="2:18" ht="29.45" customHeight="1">
      <c r="B121" s="486" t="s">
        <v>429</v>
      </c>
      <c r="C121" s="486"/>
      <c r="D121" s="486"/>
      <c r="E121" s="486"/>
      <c r="F121" s="486"/>
      <c r="G121" s="486"/>
      <c r="H121" s="486"/>
      <c r="I121" s="486"/>
      <c r="J121" s="486"/>
    </row>
    <row r="123" spans="2:18" ht="21">
      <c r="B123" s="453" t="s">
        <v>559</v>
      </c>
      <c r="C123" s="454"/>
      <c r="D123" s="454"/>
      <c r="E123" s="454"/>
      <c r="F123" s="454"/>
      <c r="G123" s="454"/>
      <c r="H123" s="454"/>
      <c r="I123" s="454"/>
      <c r="K123" s="455"/>
      <c r="L123" s="455"/>
      <c r="M123" s="455"/>
      <c r="N123" s="455"/>
      <c r="O123" s="455"/>
      <c r="P123" s="455"/>
      <c r="Q123" s="455"/>
      <c r="R123" s="455"/>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13986704.408039998</v>
      </c>
      <c r="D125" s="323">
        <f>'6.Cons Profit &amp; Loss'!C6*(1+$M$126)</f>
        <v>26872090.045226995</v>
      </c>
      <c r="E125" s="323">
        <f>'6.Cons Profit &amp; Loss'!D6*(1+$M$126)</f>
        <v>32489967.482906844</v>
      </c>
      <c r="F125" s="323">
        <f>'6.Cons Profit &amp; Loss'!E6*(1+$M$126)</f>
        <v>38602452.43924161</v>
      </c>
      <c r="G125" s="323">
        <f>'6.Cons Profit &amp; Loss'!F6*(1+$M$126)</f>
        <v>45244960.972502604</v>
      </c>
      <c r="H125" s="323">
        <f>'6.Cons Profit &amp; Loss'!G6*(1+$M$126)</f>
        <v>52455214.227991566</v>
      </c>
      <c r="I125" s="323">
        <f>'6.Cons Profit &amp; Loss'!H6*(1+$M$126)</f>
        <v>60273380.406598195</v>
      </c>
    </row>
    <row r="126" spans="2:18">
      <c r="B126" s="74" t="str">
        <f>'6.Cons Profit &amp; Loss'!A7</f>
        <v>Faclitiy 2 - Processing Unit- Oil Mill Unit</v>
      </c>
      <c r="C126" s="323">
        <f>'6.Cons Profit &amp; Loss'!B7*(1+$M$126)</f>
        <v>677003.24470799998</v>
      </c>
      <c r="D126" s="323">
        <f>'6.Cons Profit &amp; Loss'!C7*(1+$M$126)</f>
        <v>1097009.0969607001</v>
      </c>
      <c r="E126" s="323">
        <f>'6.Cons Profit &amp; Loss'!D7*(1+$M$126)</f>
        <v>1541190.30839046</v>
      </c>
      <c r="F126" s="323">
        <f>'6.Cons Profit &amp; Loss'!E7*(1+$M$126)</f>
        <v>2027047.1182207947</v>
      </c>
      <c r="G126" s="323">
        <f>'6.Cons Profit &amp; Loss'!F7*(1+$M$126)</f>
        <v>2557636.633263187</v>
      </c>
      <c r="H126" s="323">
        <f>'6.Cons Profit &amp; Loss'!G7*(1+$M$126)</f>
        <v>3136217.4820142649</v>
      </c>
      <c r="I126" s="323">
        <f>'6.Cons Profit &amp; Loss'!H7*(1+$M$126)</f>
        <v>3766262.3240572936</v>
      </c>
      <c r="L126" s="5" t="s">
        <v>369</v>
      </c>
      <c r="M126" s="263">
        <v>0.03</v>
      </c>
    </row>
    <row r="127" spans="2:18">
      <c r="B127" s="74" t="str">
        <f>'6.Cons Profit &amp; Loss'!A8</f>
        <v>Faclitiy 3 - Warehouse</v>
      </c>
      <c r="C127" s="323">
        <f>'6.Cons Profit &amp; Loss'!B8*(1+$M$126)</f>
        <v>0</v>
      </c>
      <c r="D127" s="323">
        <f>'6.Cons Profit &amp; Loss'!C8*(1+$M$126)</f>
        <v>0</v>
      </c>
      <c r="E127" s="323">
        <f>'6.Cons Profit &amp; Loss'!D8*(1+$M$126)</f>
        <v>0</v>
      </c>
      <c r="F127" s="323">
        <f>'6.Cons Profit &amp; Loss'!E8*(1+$M$126)</f>
        <v>0</v>
      </c>
      <c r="G127" s="323">
        <f>'6.Cons Profit &amp; Loss'!F8*(1+$M$126)</f>
        <v>0</v>
      </c>
      <c r="H127" s="323">
        <f>'6.Cons Profit &amp; Loss'!G8*(1+$M$126)</f>
        <v>0</v>
      </c>
      <c r="I127" s="323">
        <f>'6.Cons Profit &amp; Loss'!H8*(1+$M$126)</f>
        <v>0</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14663707.652747998</v>
      </c>
      <c r="D132" s="323">
        <f t="shared" ref="D132:I132" si="13">SUM(D125:D131)</f>
        <v>27969099.142187696</v>
      </c>
      <c r="E132" s="323">
        <f t="shared" si="13"/>
        <v>34031157.791297302</v>
      </c>
      <c r="F132" s="323">
        <f t="shared" si="13"/>
        <v>40629499.557462402</v>
      </c>
      <c r="G132" s="323">
        <f t="shared" si="13"/>
        <v>47802597.60576579</v>
      </c>
      <c r="H132" s="323">
        <f t="shared" si="13"/>
        <v>55591431.710005835</v>
      </c>
      <c r="I132" s="323">
        <f t="shared" si="13"/>
        <v>64039642.730655491</v>
      </c>
    </row>
    <row r="133" spans="2:9">
      <c r="B133" s="74" t="s">
        <v>353</v>
      </c>
      <c r="C133" s="323"/>
      <c r="D133" s="323"/>
      <c r="E133" s="323"/>
      <c r="F133" s="323"/>
      <c r="G133" s="323"/>
      <c r="H133" s="323"/>
      <c r="I133" s="323"/>
    </row>
    <row r="134" spans="2:9">
      <c r="B134" s="74" t="s">
        <v>354</v>
      </c>
      <c r="C134" s="323">
        <f>'6.Cons Profit &amp; Loss'!B34</f>
        <v>3380000</v>
      </c>
      <c r="D134" s="323">
        <f>'6.Cons Profit &amp; Loss'!C34</f>
        <v>3549000</v>
      </c>
      <c r="E134" s="323">
        <f>'6.Cons Profit &amp; Loss'!D34</f>
        <v>3726450</v>
      </c>
      <c r="F134" s="323">
        <f>'6.Cons Profit &amp; Loss'!E34</f>
        <v>3912772.5000000009</v>
      </c>
      <c r="G134" s="323">
        <f>'6.Cons Profit &amp; Loss'!F34</f>
        <v>4108411.1250000009</v>
      </c>
      <c r="H134" s="323">
        <f>'6.Cons Profit &amp; Loss'!G34</f>
        <v>4313831.6812500004</v>
      </c>
      <c r="I134" s="323">
        <f>'6.Cons Profit &amp; Loss'!H34</f>
        <v>4529523.2653125012</v>
      </c>
    </row>
    <row r="135" spans="2:9">
      <c r="B135" s="74" t="s">
        <v>312</v>
      </c>
      <c r="C135" s="323">
        <f>'6.Cons Profit &amp; Loss'!B23*(1+M126)</f>
        <v>11638248.71314612</v>
      </c>
      <c r="D135" s="323">
        <f>'6.Cons Profit &amp; Loss'!C23*(1+N126)</f>
        <v>21299907.014078438</v>
      </c>
      <c r="E135" s="323">
        <f>'6.Cons Profit &amp; Loss'!D23*(1+O126)</f>
        <v>25777200.155718368</v>
      </c>
      <c r="F135" s="323">
        <f>'6.Cons Profit &amp; Loss'!E23*(1+P126)</f>
        <v>30648972.843987104</v>
      </c>
      <c r="G135" s="323">
        <f>'6.Cons Profit &amp; Loss'!F23*(1+Q126)</f>
        <v>35943479.800693415</v>
      </c>
      <c r="H135" s="323">
        <f>'6.Cons Profit &amp; Loss'!G23*(1+R126)</f>
        <v>41690815.020960398</v>
      </c>
      <c r="I135" s="323">
        <f>'6.Cons Profit &amp; Loss'!H23*(1+S126)</f>
        <v>47923025.063752331</v>
      </c>
    </row>
    <row r="136" spans="2:9">
      <c r="B136" s="74" t="s">
        <v>355</v>
      </c>
      <c r="C136" s="323">
        <f t="shared" ref="C136:I136" si="14">SUM(C134:C135)</f>
        <v>15018248.71314612</v>
      </c>
      <c r="D136" s="323">
        <f t="shared" si="14"/>
        <v>24848907.014078438</v>
      </c>
      <c r="E136" s="323">
        <f t="shared" si="14"/>
        <v>29503650.155718368</v>
      </c>
      <c r="F136" s="323">
        <f t="shared" si="14"/>
        <v>34561745.343987107</v>
      </c>
      <c r="G136" s="323">
        <f t="shared" si="14"/>
        <v>40051890.925693415</v>
      </c>
      <c r="H136" s="323">
        <f t="shared" si="14"/>
        <v>46004646.702210397</v>
      </c>
      <c r="I136" s="323">
        <f t="shared" si="14"/>
        <v>52452548.329064831</v>
      </c>
    </row>
    <row r="137" spans="2:9">
      <c r="B137" s="77" t="s">
        <v>356</v>
      </c>
      <c r="C137" s="325">
        <f t="shared" ref="C137:I137" si="15">+C132-C136</f>
        <v>-354541.0603981223</v>
      </c>
      <c r="D137" s="325">
        <f t="shared" si="15"/>
        <v>3120192.1281092577</v>
      </c>
      <c r="E137" s="325">
        <f t="shared" si="15"/>
        <v>4527507.6355789341</v>
      </c>
      <c r="F137" s="325">
        <f t="shared" si="15"/>
        <v>6067754.2134752944</v>
      </c>
      <c r="G137" s="325">
        <f t="shared" si="15"/>
        <v>7750706.6800723746</v>
      </c>
      <c r="H137" s="325">
        <f t="shared" si="15"/>
        <v>9586785.0077954382</v>
      </c>
      <c r="I137" s="325">
        <f t="shared" si="15"/>
        <v>11587094.40159066</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13579324.667999998</v>
      </c>
      <c r="D140" s="76">
        <f>'6.Cons Profit &amp; Loss'!C6</f>
        <v>26089407.810899995</v>
      </c>
      <c r="E140" s="76">
        <f>'6.Cons Profit &amp; Loss'!D6</f>
        <v>31543657.750394993</v>
      </c>
      <c r="F140" s="76">
        <f>'6.Cons Profit &amp; Loss'!E6</f>
        <v>37478109.164312243</v>
      </c>
      <c r="G140" s="76">
        <f>'6.Cons Profit &amp; Loss'!F6</f>
        <v>43927146.575245246</v>
      </c>
      <c r="H140" s="76">
        <f>'6.Cons Profit &amp; Loss'!G6</f>
        <v>50927392.454360746</v>
      </c>
      <c r="I140" s="76">
        <f>'6.Cons Profit &amp; Loss'!H6</f>
        <v>58517845.054949701</v>
      </c>
    </row>
    <row r="141" spans="2:9">
      <c r="B141" s="74" t="str">
        <f t="shared" si="16"/>
        <v>Faclitiy 2 - Processing Unit- Oil Mill Unit</v>
      </c>
      <c r="C141" s="76">
        <f>'6.Cons Profit &amp; Loss'!B7</f>
        <v>657284.70360000001</v>
      </c>
      <c r="D141" s="76">
        <f>'6.Cons Profit &amp; Loss'!C7</f>
        <v>1065057.3756900001</v>
      </c>
      <c r="E141" s="76">
        <f>'6.Cons Profit &amp; Loss'!D7</f>
        <v>1496301.2702819998</v>
      </c>
      <c r="F141" s="76">
        <f>'6.Cons Profit &amp; Loss'!E7</f>
        <v>1968006.9108939753</v>
      </c>
      <c r="G141" s="76">
        <f>'6.Cons Profit &amp; Loss'!F7</f>
        <v>2483142.3623914435</v>
      </c>
      <c r="H141" s="76">
        <f>'6.Cons Profit &amp; Loss'!G7</f>
        <v>3044871.3417614223</v>
      </c>
      <c r="I141" s="76">
        <f>'6.Cons Profit &amp; Loss'!H7</f>
        <v>3656565.3631624207</v>
      </c>
    </row>
    <row r="142" spans="2:9">
      <c r="B142" s="74" t="str">
        <f t="shared" si="16"/>
        <v>Faclitiy 3 - Warehouse</v>
      </c>
      <c r="C142" s="76">
        <f>'6.Cons Profit &amp; Loss'!B8</f>
        <v>0</v>
      </c>
      <c r="D142" s="76">
        <f>'6.Cons Profit &amp; Loss'!C8</f>
        <v>0</v>
      </c>
      <c r="E142" s="76">
        <f>'6.Cons Profit &amp; Loss'!D8</f>
        <v>0</v>
      </c>
      <c r="F142" s="76">
        <f>'6.Cons Profit &amp; Loss'!E8</f>
        <v>0</v>
      </c>
      <c r="G142" s="76">
        <f>'6.Cons Profit &amp; Loss'!F8</f>
        <v>0</v>
      </c>
      <c r="H142" s="76">
        <f>'6.Cons Profit &amp; Loss'!G8</f>
        <v>0</v>
      </c>
      <c r="I142" s="76">
        <f>'6.Cons Profit &amp; Loss'!H8</f>
        <v>0</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14236609.371599998</v>
      </c>
      <c r="D147" s="76">
        <f t="shared" ref="D147:I147" si="17">SUM(D140:D146)</f>
        <v>27154465.186589994</v>
      </c>
      <c r="E147" s="76">
        <f t="shared" si="17"/>
        <v>33039959.020676993</v>
      </c>
      <c r="F147" s="76">
        <f t="shared" si="17"/>
        <v>39446116.07520622</v>
      </c>
      <c r="G147" s="76">
        <f t="shared" si="17"/>
        <v>46410288.937636688</v>
      </c>
      <c r="H147" s="76">
        <f t="shared" si="17"/>
        <v>53972263.796122171</v>
      </c>
      <c r="I147" s="76">
        <f t="shared" si="17"/>
        <v>62174410.418112122</v>
      </c>
    </row>
    <row r="148" spans="2:15">
      <c r="B148" s="74" t="s">
        <v>353</v>
      </c>
      <c r="C148" s="81"/>
      <c r="D148" s="76"/>
      <c r="E148" s="76"/>
      <c r="F148" s="76"/>
      <c r="G148" s="76"/>
      <c r="H148" s="76"/>
      <c r="I148" s="76"/>
    </row>
    <row r="149" spans="2:15">
      <c r="B149" s="74" t="s">
        <v>354</v>
      </c>
      <c r="C149" s="75">
        <f>'6.Cons Profit &amp; Loss'!B34</f>
        <v>3380000</v>
      </c>
      <c r="D149" s="75">
        <f>'6.Cons Profit &amp; Loss'!C34</f>
        <v>3549000</v>
      </c>
      <c r="E149" s="75">
        <f>'6.Cons Profit &amp; Loss'!D34</f>
        <v>3726450</v>
      </c>
      <c r="F149" s="75">
        <f>'6.Cons Profit &amp; Loss'!E34</f>
        <v>3912772.5000000009</v>
      </c>
      <c r="G149" s="75">
        <f>'6.Cons Profit &amp; Loss'!F34</f>
        <v>4108411.1250000009</v>
      </c>
      <c r="H149" s="75">
        <f>'6.Cons Profit &amp; Loss'!G34</f>
        <v>4313831.6812500004</v>
      </c>
      <c r="I149" s="75">
        <f>'6.Cons Profit &amp; Loss'!H34</f>
        <v>4529523.2653125012</v>
      </c>
    </row>
    <row r="150" spans="2:15">
      <c r="B150" s="74" t="s">
        <v>312</v>
      </c>
      <c r="C150" s="75">
        <f>'6.Cons Profit &amp; Loss'!B23*(1+$M$127)</f>
        <v>11638248.71314612</v>
      </c>
      <c r="D150" s="75">
        <f>'6.Cons Profit &amp; Loss'!C23*(1+$M$127)</f>
        <v>21938904.22450079</v>
      </c>
      <c r="E150" s="75">
        <f>'6.Cons Profit &amp; Loss'!D23*(1+$M$127)</f>
        <v>26550516.160389919</v>
      </c>
      <c r="F150" s="75">
        <f>'6.Cons Profit &amp; Loss'!E23*(1+$M$127)</f>
        <v>31568442.029306717</v>
      </c>
      <c r="G150" s="75">
        <f>'6.Cons Profit &amp; Loss'!F23*(1+$M$127)</f>
        <v>37021784.194714218</v>
      </c>
      <c r="H150" s="75">
        <f>'6.Cons Profit &amp; Loss'!G23*(1+$M$127)</f>
        <v>42941539.471589208</v>
      </c>
      <c r="I150" s="75">
        <f>'6.Cons Profit &amp; Loss'!H23*(1+$M$127)</f>
        <v>49360715.815664902</v>
      </c>
    </row>
    <row r="151" spans="2:15">
      <c r="B151" s="74" t="s">
        <v>355</v>
      </c>
      <c r="C151" s="75">
        <f t="shared" ref="C151:I151" si="18">SUM(C149:C150)</f>
        <v>15018248.71314612</v>
      </c>
      <c r="D151" s="75">
        <f t="shared" si="18"/>
        <v>25487904.22450079</v>
      </c>
      <c r="E151" s="75">
        <f t="shared" si="18"/>
        <v>30276966.160389919</v>
      </c>
      <c r="F151" s="75">
        <f t="shared" si="18"/>
        <v>35481214.529306717</v>
      </c>
      <c r="G151" s="75">
        <f t="shared" si="18"/>
        <v>41130195.319714218</v>
      </c>
      <c r="H151" s="75">
        <f t="shared" si="18"/>
        <v>47255371.152839206</v>
      </c>
      <c r="I151" s="75">
        <f t="shared" si="18"/>
        <v>53890239.080977403</v>
      </c>
    </row>
    <row r="152" spans="2:15">
      <c r="B152" s="77" t="s">
        <v>356</v>
      </c>
      <c r="C152" s="78">
        <f t="shared" ref="C152:I152" si="19">+C147-C151</f>
        <v>-781639.34154612198</v>
      </c>
      <c r="D152" s="78">
        <f t="shared" si="19"/>
        <v>1666560.9620892033</v>
      </c>
      <c r="E152" s="78">
        <f t="shared" si="19"/>
        <v>2762992.860287074</v>
      </c>
      <c r="F152" s="78">
        <f t="shared" si="19"/>
        <v>3964901.5458995029</v>
      </c>
      <c r="G152" s="78">
        <f t="shared" si="19"/>
        <v>5280093.61792247</v>
      </c>
      <c r="H152" s="78">
        <f t="shared" si="19"/>
        <v>6716892.6432829648</v>
      </c>
      <c r="I152" s="78">
        <f t="shared" si="19"/>
        <v>8284171.3371347189</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13171944.927959997</v>
      </c>
      <c r="D155" s="323">
        <f>'6.Cons Profit &amp; Loss'!C6*(1-$M$126)</f>
        <v>25306725.576572996</v>
      </c>
      <c r="E155" s="323">
        <f>'6.Cons Profit &amp; Loss'!D6*(1-$M$126)</f>
        <v>30597348.017883141</v>
      </c>
      <c r="F155" s="323">
        <f>'6.Cons Profit &amp; Loss'!E6*(1-$M$126)</f>
        <v>36353765.889382876</v>
      </c>
      <c r="G155" s="323">
        <f>'6.Cons Profit &amp; Loss'!F6*(1-$M$126)</f>
        <v>42609332.177987888</v>
      </c>
      <c r="H155" s="323">
        <f>'6.Cons Profit &amp; Loss'!G6*(1-$M$126)</f>
        <v>49399570.680729926</v>
      </c>
      <c r="I155" s="323">
        <f>'6.Cons Profit &amp; Loss'!H6*(1-$M$126)</f>
        <v>56762309.703301206</v>
      </c>
    </row>
    <row r="156" spans="2:15">
      <c r="B156" s="74" t="str">
        <f t="shared" si="20"/>
        <v>Faclitiy 2 - Processing Unit- Oil Mill Unit</v>
      </c>
      <c r="C156" s="323">
        <f>'6.Cons Profit &amp; Loss'!B7*(1-$M$126)</f>
        <v>637566.16249200003</v>
      </c>
      <c r="D156" s="323">
        <f>'6.Cons Profit &amp; Loss'!C7*(1-$M$126)</f>
        <v>1033105.6544193001</v>
      </c>
      <c r="E156" s="323">
        <f>'6.Cons Profit &amp; Loss'!D7*(1-$M$126)</f>
        <v>1451412.2321735397</v>
      </c>
      <c r="F156" s="323">
        <f>'6.Cons Profit &amp; Loss'!E7*(1-$M$126)</f>
        <v>1908966.7035671559</v>
      </c>
      <c r="G156" s="323">
        <f>'6.Cons Profit &amp; Loss'!F7*(1-$M$126)</f>
        <v>2408648.0915196999</v>
      </c>
      <c r="H156" s="323">
        <f>'6.Cons Profit &amp; Loss'!G7*(1-$M$126)</f>
        <v>2953525.2015085798</v>
      </c>
      <c r="I156" s="323">
        <f>'6.Cons Profit &amp; Loss'!H7*(1-$M$126)</f>
        <v>3546868.4022675478</v>
      </c>
    </row>
    <row r="157" spans="2:15">
      <c r="B157" s="74" t="str">
        <f t="shared" si="20"/>
        <v>Faclitiy 3 - Warehouse</v>
      </c>
      <c r="C157" s="323">
        <f>'6.Cons Profit &amp; Loss'!B8*(1-$M$126)</f>
        <v>0</v>
      </c>
      <c r="D157" s="323">
        <f>'6.Cons Profit &amp; Loss'!C8*(1-$M$126)</f>
        <v>0</v>
      </c>
      <c r="E157" s="323">
        <f>'6.Cons Profit &amp; Loss'!D8*(1-$M$126)</f>
        <v>0</v>
      </c>
      <c r="F157" s="323">
        <f>'6.Cons Profit &amp; Loss'!E8*(1-$M$126)</f>
        <v>0</v>
      </c>
      <c r="G157" s="323">
        <f>'6.Cons Profit &amp; Loss'!F8*(1-$M$126)</f>
        <v>0</v>
      </c>
      <c r="H157" s="323">
        <f>'6.Cons Profit &amp; Loss'!G8*(1-$M$126)</f>
        <v>0</v>
      </c>
      <c r="I157" s="323">
        <f>'6.Cons Profit &amp; Loss'!H8*(1-$M$126)</f>
        <v>0</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13809511.090451997</v>
      </c>
      <c r="D162" s="323">
        <f t="shared" ref="D162:I162" si="21">SUM(D155:D161)</f>
        <v>26339831.230992295</v>
      </c>
      <c r="E162" s="323">
        <f t="shared" si="21"/>
        <v>32048760.25005668</v>
      </c>
      <c r="F162" s="323">
        <f t="shared" si="21"/>
        <v>38262732.592950031</v>
      </c>
      <c r="G162" s="323">
        <f t="shared" si="21"/>
        <v>45017980.269507587</v>
      </c>
      <c r="H162" s="323">
        <f t="shared" si="21"/>
        <v>52353095.882238507</v>
      </c>
      <c r="I162" s="323">
        <f t="shared" si="21"/>
        <v>60309178.105568752</v>
      </c>
    </row>
    <row r="163" spans="2:9">
      <c r="B163" s="74" t="s">
        <v>353</v>
      </c>
      <c r="C163" s="323"/>
      <c r="D163" s="323"/>
      <c r="E163" s="323"/>
      <c r="F163" s="323"/>
      <c r="G163" s="323"/>
      <c r="H163" s="323"/>
      <c r="I163" s="323"/>
    </row>
    <row r="164" spans="2:9">
      <c r="B164" s="74" t="s">
        <v>354</v>
      </c>
      <c r="C164" s="323">
        <f>'6.Cons Profit &amp; Loss'!B34</f>
        <v>3380000</v>
      </c>
      <c r="D164" s="323">
        <f>'6.Cons Profit &amp; Loss'!C34</f>
        <v>3549000</v>
      </c>
      <c r="E164" s="323">
        <f>'6.Cons Profit &amp; Loss'!D34</f>
        <v>3726450</v>
      </c>
      <c r="F164" s="323">
        <f>'6.Cons Profit &amp; Loss'!E34</f>
        <v>3912772.5000000009</v>
      </c>
      <c r="G164" s="323">
        <f>'6.Cons Profit &amp; Loss'!F34</f>
        <v>4108411.1250000009</v>
      </c>
      <c r="H164" s="323">
        <f>'6.Cons Profit &amp; Loss'!G34</f>
        <v>4313831.6812500004</v>
      </c>
      <c r="I164" s="323">
        <f>'6.Cons Profit &amp; Loss'!H34</f>
        <v>4529523.2653125012</v>
      </c>
    </row>
    <row r="165" spans="2:9">
      <c r="B165" s="74" t="s">
        <v>312</v>
      </c>
      <c r="C165" s="323">
        <f>'6.Cons Profit &amp; Loss'!B23*(1-$M$126)</f>
        <v>10960292.477428868</v>
      </c>
      <c r="D165" s="323">
        <f>'6.Cons Profit &amp; Loss'!C23*(1-$M$126)</f>
        <v>20660909.803656086</v>
      </c>
      <c r="E165" s="323">
        <f>'6.Cons Profit &amp; Loss'!D23*(1-$M$126)</f>
        <v>25003884.151046816</v>
      </c>
      <c r="F165" s="323">
        <f>'6.Cons Profit &amp; Loss'!E23*(1-$M$126)</f>
        <v>29729503.65866749</v>
      </c>
      <c r="G165" s="323">
        <f>'6.Cons Profit &amp; Loss'!F23*(1-$M$126)</f>
        <v>34865175.406672612</v>
      </c>
      <c r="H165" s="323">
        <f>'6.Cons Profit &amp; Loss'!G23*(1-$M$126)</f>
        <v>40440090.570331588</v>
      </c>
      <c r="I165" s="323">
        <f>'6.Cons Profit &amp; Loss'!H23*(1-$M$126)</f>
        <v>46485334.311839759</v>
      </c>
    </row>
    <row r="166" spans="2:9">
      <c r="B166" s="74" t="s">
        <v>355</v>
      </c>
      <c r="C166" s="323">
        <f t="shared" ref="C166:I166" si="22">SUM(C164:C165)</f>
        <v>14340292.477428868</v>
      </c>
      <c r="D166" s="323">
        <f t="shared" si="22"/>
        <v>24209909.803656086</v>
      </c>
      <c r="E166" s="323">
        <f t="shared" si="22"/>
        <v>28730334.151046816</v>
      </c>
      <c r="F166" s="323">
        <f t="shared" si="22"/>
        <v>33642276.15866749</v>
      </c>
      <c r="G166" s="323">
        <f t="shared" si="22"/>
        <v>38973586.531672612</v>
      </c>
      <c r="H166" s="323">
        <f t="shared" si="22"/>
        <v>44753922.251581587</v>
      </c>
      <c r="I166" s="323">
        <f t="shared" si="22"/>
        <v>51014857.57715226</v>
      </c>
    </row>
    <row r="167" spans="2:9">
      <c r="B167" s="77" t="s">
        <v>356</v>
      </c>
      <c r="C167" s="325">
        <f t="shared" ref="C167:I167" si="23">+C162-C166</f>
        <v>-530781.38697687164</v>
      </c>
      <c r="D167" s="325">
        <f t="shared" si="23"/>
        <v>2129921.4273362085</v>
      </c>
      <c r="E167" s="325">
        <f t="shared" si="23"/>
        <v>3318426.099009864</v>
      </c>
      <c r="F167" s="325">
        <f t="shared" si="23"/>
        <v>4620456.4342825413</v>
      </c>
      <c r="G167" s="325">
        <f t="shared" si="23"/>
        <v>6044393.7378349751</v>
      </c>
      <c r="H167" s="325">
        <f t="shared" si="23"/>
        <v>7599173.6306569204</v>
      </c>
      <c r="I167" s="325">
        <f t="shared" si="23"/>
        <v>9294320.528416492</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13579324.667999998</v>
      </c>
      <c r="D170" s="76">
        <f>'6.Cons Profit &amp; Loss'!C6</f>
        <v>26089407.810899995</v>
      </c>
      <c r="E170" s="76">
        <f>'6.Cons Profit &amp; Loss'!D6</f>
        <v>31543657.750394993</v>
      </c>
      <c r="F170" s="76">
        <f>'6.Cons Profit &amp; Loss'!E6</f>
        <v>37478109.164312243</v>
      </c>
      <c r="G170" s="76">
        <f>'6.Cons Profit &amp; Loss'!F6</f>
        <v>43927146.575245246</v>
      </c>
      <c r="H170" s="76">
        <f>'6.Cons Profit &amp; Loss'!G6</f>
        <v>50927392.454360746</v>
      </c>
      <c r="I170" s="76">
        <f>'6.Cons Profit &amp; Loss'!H6</f>
        <v>58517845.054949701</v>
      </c>
    </row>
    <row r="171" spans="2:9">
      <c r="B171" s="74" t="str">
        <f t="shared" si="24"/>
        <v>Faclitiy 2 - Processing Unit- Oil Mill Unit</v>
      </c>
      <c r="C171" s="76">
        <f>'6.Cons Profit &amp; Loss'!B7</f>
        <v>657284.70360000001</v>
      </c>
      <c r="D171" s="76">
        <f>'6.Cons Profit &amp; Loss'!C7</f>
        <v>1065057.3756900001</v>
      </c>
      <c r="E171" s="76">
        <f>'6.Cons Profit &amp; Loss'!D7</f>
        <v>1496301.2702819998</v>
      </c>
      <c r="F171" s="76">
        <f>'6.Cons Profit &amp; Loss'!E7</f>
        <v>1968006.9108939753</v>
      </c>
      <c r="G171" s="76">
        <f>'6.Cons Profit &amp; Loss'!F7</f>
        <v>2483142.3623914435</v>
      </c>
      <c r="H171" s="76">
        <f>'6.Cons Profit &amp; Loss'!G7</f>
        <v>3044871.3417614223</v>
      </c>
      <c r="I171" s="76">
        <f>'6.Cons Profit &amp; Loss'!H7</f>
        <v>3656565.3631624207</v>
      </c>
    </row>
    <row r="172" spans="2:9">
      <c r="B172" s="74" t="str">
        <f t="shared" si="24"/>
        <v>Faclitiy 3 - Warehouse</v>
      </c>
      <c r="C172" s="76">
        <f>'6.Cons Profit &amp; Loss'!B8</f>
        <v>0</v>
      </c>
      <c r="D172" s="76">
        <f>'6.Cons Profit &amp; Loss'!C8</f>
        <v>0</v>
      </c>
      <c r="E172" s="76">
        <f>'6.Cons Profit &amp; Loss'!D8</f>
        <v>0</v>
      </c>
      <c r="F172" s="76">
        <f>'6.Cons Profit &amp; Loss'!E8</f>
        <v>0</v>
      </c>
      <c r="G172" s="76">
        <f>'6.Cons Profit &amp; Loss'!F8</f>
        <v>0</v>
      </c>
      <c r="H172" s="76">
        <f>'6.Cons Profit &amp; Loss'!G8</f>
        <v>0</v>
      </c>
      <c r="I172" s="76">
        <f>'6.Cons Profit &amp; Loss'!H8</f>
        <v>0</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14236609.371599998</v>
      </c>
      <c r="D177" s="76">
        <f t="shared" ref="D177:I177" si="25">SUM(D170:D176)</f>
        <v>27154465.186589994</v>
      </c>
      <c r="E177" s="76">
        <f t="shared" si="25"/>
        <v>33039959.020676993</v>
      </c>
      <c r="F177" s="76">
        <f t="shared" si="25"/>
        <v>39446116.07520622</v>
      </c>
      <c r="G177" s="76">
        <f t="shared" si="25"/>
        <v>46410288.937636688</v>
      </c>
      <c r="H177" s="76">
        <f t="shared" si="25"/>
        <v>53972263.796122171</v>
      </c>
      <c r="I177" s="76">
        <f t="shared" si="25"/>
        <v>62174410.418112122</v>
      </c>
    </row>
    <row r="178" spans="2:13">
      <c r="B178" s="74" t="s">
        <v>353</v>
      </c>
      <c r="C178" s="76"/>
      <c r="D178" s="76"/>
      <c r="E178" s="76"/>
      <c r="F178" s="76"/>
      <c r="G178" s="76"/>
      <c r="H178" s="76"/>
      <c r="I178" s="76"/>
    </row>
    <row r="179" spans="2:13">
      <c r="B179" s="74" t="s">
        <v>354</v>
      </c>
      <c r="C179" s="76">
        <f>'6.Cons Profit &amp; Loss'!B34</f>
        <v>3380000</v>
      </c>
      <c r="D179" s="76">
        <f>'6.Cons Profit &amp; Loss'!C34</f>
        <v>3549000</v>
      </c>
      <c r="E179" s="76">
        <f>'6.Cons Profit &amp; Loss'!D34</f>
        <v>3726450</v>
      </c>
      <c r="F179" s="76">
        <f>'6.Cons Profit &amp; Loss'!E34</f>
        <v>3912772.5000000009</v>
      </c>
      <c r="G179" s="76">
        <f>'6.Cons Profit &amp; Loss'!F34</f>
        <v>4108411.1250000009</v>
      </c>
      <c r="H179" s="76">
        <f>'6.Cons Profit &amp; Loss'!G34</f>
        <v>4313831.6812500004</v>
      </c>
      <c r="I179" s="76">
        <f>'6.Cons Profit &amp; Loss'!H34</f>
        <v>4529523.2653125012</v>
      </c>
    </row>
    <row r="180" spans="2:13">
      <c r="B180" s="74" t="s">
        <v>312</v>
      </c>
      <c r="C180" s="76">
        <f>'6.Cons Profit &amp; Loss'!B23*(1-$M$127)</f>
        <v>10960292.477428868</v>
      </c>
      <c r="D180" s="76">
        <f>'6.Cons Profit &amp; Loss'!C23*(1-$M$127)</f>
        <v>20660909.803656086</v>
      </c>
      <c r="E180" s="76">
        <f>'6.Cons Profit &amp; Loss'!D23*(1-$M$127)</f>
        <v>25003884.151046816</v>
      </c>
      <c r="F180" s="76">
        <f>'6.Cons Profit &amp; Loss'!E23*(1-$M$127)</f>
        <v>29729503.65866749</v>
      </c>
      <c r="G180" s="76">
        <f>'6.Cons Profit &amp; Loss'!F23*(1-$M$127)</f>
        <v>34865175.406672612</v>
      </c>
      <c r="H180" s="76">
        <f>'6.Cons Profit &amp; Loss'!G23*(1-$M$127)</f>
        <v>40440090.570331588</v>
      </c>
      <c r="I180" s="76">
        <f>'6.Cons Profit &amp; Loss'!H23*(1-$M$127)</f>
        <v>46485334.311839759</v>
      </c>
    </row>
    <row r="181" spans="2:13">
      <c r="B181" s="74" t="s">
        <v>355</v>
      </c>
      <c r="C181" s="76">
        <f t="shared" ref="C181:I181" si="26">SUM(C179:C180)</f>
        <v>14340292.477428868</v>
      </c>
      <c r="D181" s="76">
        <f t="shared" si="26"/>
        <v>24209909.803656086</v>
      </c>
      <c r="E181" s="76">
        <f t="shared" si="26"/>
        <v>28730334.151046816</v>
      </c>
      <c r="F181" s="76">
        <f t="shared" si="26"/>
        <v>33642276.15866749</v>
      </c>
      <c r="G181" s="76">
        <f t="shared" si="26"/>
        <v>38973586.531672612</v>
      </c>
      <c r="H181" s="76">
        <f t="shared" si="26"/>
        <v>44753922.251581587</v>
      </c>
      <c r="I181" s="76">
        <f t="shared" si="26"/>
        <v>51014857.57715226</v>
      </c>
    </row>
    <row r="182" spans="2:13">
      <c r="B182" s="77" t="s">
        <v>356</v>
      </c>
      <c r="C182" s="324">
        <f t="shared" ref="C182:I182" si="27">+C177-C181</f>
        <v>-103683.10582887009</v>
      </c>
      <c r="D182" s="324">
        <f t="shared" si="27"/>
        <v>2944555.3829339072</v>
      </c>
      <c r="E182" s="324">
        <f t="shared" si="27"/>
        <v>4309624.8696301766</v>
      </c>
      <c r="F182" s="324">
        <f t="shared" si="27"/>
        <v>5803839.9165387303</v>
      </c>
      <c r="G182" s="324">
        <f t="shared" si="27"/>
        <v>7436702.4059640765</v>
      </c>
      <c r="H182" s="324">
        <f t="shared" si="27"/>
        <v>9218341.5445405841</v>
      </c>
      <c r="I182" s="324">
        <f t="shared" si="27"/>
        <v>11159552.840959862</v>
      </c>
    </row>
    <row r="184" spans="2:13" ht="41.1" customHeight="1">
      <c r="B184" s="452" t="s">
        <v>541</v>
      </c>
      <c r="C184" s="452"/>
      <c r="D184" s="452"/>
      <c r="E184" s="452"/>
      <c r="F184" s="452"/>
      <c r="G184" s="452"/>
      <c r="H184" s="452"/>
      <c r="I184" s="452"/>
      <c r="J184" s="331"/>
      <c r="K184" s="331"/>
      <c r="L184" s="331"/>
      <c r="M184" s="331"/>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13" zoomScale="80" zoomScaleSheetLayoutView="80" workbookViewId="0">
      <selection activeCell="B7" sqref="B7"/>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3" t="s">
        <v>589</v>
      </c>
      <c r="B1" s="413"/>
      <c r="C1" s="413"/>
      <c r="D1" s="413"/>
      <c r="E1" s="413"/>
      <c r="F1" s="413"/>
      <c r="G1" s="413"/>
      <c r="H1" s="413"/>
    </row>
    <row r="2" spans="1:26">
      <c r="B2" s="4"/>
    </row>
    <row r="3" spans="1:26" ht="18.75">
      <c r="A3" s="464" t="s">
        <v>560</v>
      </c>
      <c r="B3" s="464"/>
    </row>
    <row r="4" spans="1:26">
      <c r="A4" s="277" t="s">
        <v>0</v>
      </c>
      <c r="B4" s="295" t="s">
        <v>390</v>
      </c>
      <c r="C4" s="296"/>
      <c r="D4" s="296"/>
      <c r="E4" s="296"/>
      <c r="F4" s="296"/>
      <c r="G4" s="296"/>
      <c r="H4" s="296"/>
    </row>
    <row r="5" spans="1:26">
      <c r="A5" s="10" t="s">
        <v>498</v>
      </c>
      <c r="B5" s="273">
        <v>500</v>
      </c>
      <c r="C5" s="297"/>
      <c r="D5" s="298"/>
      <c r="E5" s="298"/>
      <c r="F5" s="298"/>
      <c r="G5" s="298"/>
      <c r="H5" s="298"/>
    </row>
    <row r="6" spans="1:26">
      <c r="A6" s="10" t="s">
        <v>499</v>
      </c>
      <c r="B6" s="273">
        <v>200</v>
      </c>
      <c r="C6" s="297"/>
      <c r="D6" s="298"/>
      <c r="E6" s="298"/>
      <c r="F6" s="298"/>
      <c r="G6" s="298"/>
      <c r="H6" s="298"/>
    </row>
    <row r="7" spans="1:26">
      <c r="A7" s="2" t="s">
        <v>1</v>
      </c>
      <c r="B7" s="321">
        <f>B5+B6</f>
        <v>700</v>
      </c>
      <c r="C7" s="299"/>
      <c r="D7" s="300"/>
      <c r="E7" s="300"/>
      <c r="F7" s="300"/>
      <c r="G7" s="300"/>
      <c r="H7" s="300"/>
    </row>
    <row r="8" spans="1:26">
      <c r="A8" s="2" t="s">
        <v>500</v>
      </c>
      <c r="B8" s="320">
        <v>2</v>
      </c>
      <c r="C8" s="299"/>
      <c r="D8" s="299"/>
      <c r="E8" s="299"/>
      <c r="F8" s="299"/>
      <c r="G8" s="299"/>
      <c r="H8" s="299"/>
    </row>
    <row r="9" spans="1:26">
      <c r="A9" s="2" t="s">
        <v>505</v>
      </c>
      <c r="B9" s="321">
        <f>B7*B8</f>
        <v>1400</v>
      </c>
      <c r="C9" s="300"/>
      <c r="D9" s="300"/>
      <c r="E9" s="300"/>
      <c r="F9" s="300"/>
      <c r="G9" s="300"/>
      <c r="H9" s="300"/>
    </row>
    <row r="10" spans="1:26">
      <c r="J10" t="s">
        <v>459</v>
      </c>
      <c r="O10" t="s">
        <v>455</v>
      </c>
      <c r="U10" t="s">
        <v>456</v>
      </c>
      <c r="Y10" t="s">
        <v>457</v>
      </c>
      <c r="Z10" t="s">
        <v>458</v>
      </c>
    </row>
    <row r="11" spans="1:26" ht="18.75">
      <c r="A11" s="413" t="s">
        <v>561</v>
      </c>
      <c r="B11" s="413"/>
      <c r="C11" s="413"/>
      <c r="D11" s="413"/>
      <c r="E11" s="413"/>
      <c r="F11" s="413"/>
      <c r="G11" s="413"/>
      <c r="H11" s="413"/>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452</v>
      </c>
      <c r="D13" s="278" t="s">
        <v>460</v>
      </c>
      <c r="E13" s="278" t="s">
        <v>461</v>
      </c>
      <c r="F13" s="278" t="s">
        <v>396</v>
      </c>
      <c r="G13" s="278" t="s">
        <v>633</v>
      </c>
      <c r="H13" s="278" t="s">
        <v>397</v>
      </c>
      <c r="O13" s="290" t="s">
        <v>2</v>
      </c>
      <c r="P13" s="290" t="s">
        <v>3</v>
      </c>
      <c r="Q13" s="290" t="s">
        <v>4</v>
      </c>
      <c r="R13" s="290" t="s">
        <v>5</v>
      </c>
      <c r="S13" s="290" t="s">
        <v>6</v>
      </c>
      <c r="T13" s="290" t="s">
        <v>2</v>
      </c>
      <c r="U13" s="290" t="s">
        <v>3</v>
      </c>
      <c r="V13" s="290" t="s">
        <v>4</v>
      </c>
      <c r="W13" s="290" t="s">
        <v>5</v>
      </c>
      <c r="X13" s="290" t="s">
        <v>6</v>
      </c>
    </row>
    <row r="14" spans="1:26">
      <c r="A14" s="468" t="s">
        <v>398</v>
      </c>
      <c r="B14" s="273" t="s">
        <v>165</v>
      </c>
      <c r="C14" s="288">
        <v>0.45</v>
      </c>
      <c r="D14" s="10">
        <f t="shared" ref="D14:D22" si="3">$B$9*C14</f>
        <v>630</v>
      </c>
      <c r="E14" s="274">
        <v>10</v>
      </c>
      <c r="F14" s="10">
        <f>D14*E14</f>
        <v>6300</v>
      </c>
      <c r="G14" s="289">
        <v>0.01</v>
      </c>
      <c r="H14" s="10">
        <f>(F14-F14*G14)</f>
        <v>6237</v>
      </c>
      <c r="J14">
        <f>$D$14*J12</f>
        <v>409.5</v>
      </c>
      <c r="K14">
        <f>$D$14*K12</f>
        <v>441.00000000000006</v>
      </c>
      <c r="L14">
        <f>$D$14*L12</f>
        <v>472.50000000000006</v>
      </c>
      <c r="M14">
        <f>$D$14*M12</f>
        <v>504.00000000000011</v>
      </c>
      <c r="N14">
        <f>$D$14*N12</f>
        <v>535.50000000000011</v>
      </c>
    </row>
    <row r="15" spans="1:26">
      <c r="A15" s="469"/>
      <c r="B15" s="273" t="s">
        <v>679</v>
      </c>
      <c r="C15" s="288">
        <v>0.05</v>
      </c>
      <c r="D15" s="10">
        <f t="shared" si="3"/>
        <v>70</v>
      </c>
      <c r="E15" s="274">
        <v>10</v>
      </c>
      <c r="F15" s="10">
        <f t="shared" ref="F15:F36" si="4">D15*E15</f>
        <v>700</v>
      </c>
      <c r="G15" s="289">
        <v>0.05</v>
      </c>
      <c r="H15" s="10">
        <f>(F15-F15*G15)</f>
        <v>665</v>
      </c>
    </row>
    <row r="16" spans="1:26">
      <c r="A16" s="469"/>
      <c r="B16" s="273" t="s">
        <v>677</v>
      </c>
      <c r="C16" s="288">
        <v>0.35</v>
      </c>
      <c r="D16" s="10">
        <f t="shared" si="3"/>
        <v>489.99999999999994</v>
      </c>
      <c r="E16" s="274">
        <v>15</v>
      </c>
      <c r="F16" s="10">
        <f t="shared" si="4"/>
        <v>7349.9999999999991</v>
      </c>
      <c r="G16" s="289">
        <v>0.01</v>
      </c>
      <c r="H16" s="10">
        <f t="shared" ref="H16:H36" si="5">(F16-F16*G16)</f>
        <v>7276.4999999999991</v>
      </c>
    </row>
    <row r="17" spans="1:8">
      <c r="A17" s="469"/>
      <c r="B17" s="273" t="s">
        <v>685</v>
      </c>
      <c r="C17" s="288">
        <v>0.05</v>
      </c>
      <c r="D17" s="10">
        <f t="shared" si="3"/>
        <v>70</v>
      </c>
      <c r="E17" s="274">
        <v>7</v>
      </c>
      <c r="F17" s="10">
        <f t="shared" si="4"/>
        <v>490</v>
      </c>
      <c r="G17" s="289">
        <v>0.01</v>
      </c>
      <c r="H17" s="10">
        <f t="shared" si="5"/>
        <v>485.1</v>
      </c>
    </row>
    <row r="18" spans="1:8">
      <c r="A18" s="469"/>
      <c r="B18" s="273" t="s">
        <v>399</v>
      </c>
      <c r="C18" s="288">
        <v>0</v>
      </c>
      <c r="D18" s="10">
        <f t="shared" si="3"/>
        <v>0</v>
      </c>
      <c r="E18" s="274">
        <v>0</v>
      </c>
      <c r="F18" s="10">
        <f t="shared" si="4"/>
        <v>0</v>
      </c>
      <c r="G18" s="289">
        <v>0</v>
      </c>
      <c r="H18" s="10">
        <f t="shared" si="5"/>
        <v>0</v>
      </c>
    </row>
    <row r="19" spans="1:8">
      <c r="A19" s="469"/>
      <c r="B19" s="273" t="s">
        <v>684</v>
      </c>
      <c r="C19" s="288">
        <v>0.05</v>
      </c>
      <c r="D19" s="10">
        <f t="shared" si="3"/>
        <v>70</v>
      </c>
      <c r="E19" s="274">
        <v>8</v>
      </c>
      <c r="F19" s="10">
        <f t="shared" si="4"/>
        <v>560</v>
      </c>
      <c r="G19" s="289">
        <v>0.01</v>
      </c>
      <c r="H19" s="10">
        <f t="shared" si="5"/>
        <v>554.4</v>
      </c>
    </row>
    <row r="20" spans="1:8">
      <c r="A20" s="469"/>
      <c r="B20" s="273" t="s">
        <v>475</v>
      </c>
      <c r="C20" s="288">
        <v>0</v>
      </c>
      <c r="D20" s="10">
        <f t="shared" si="3"/>
        <v>0</v>
      </c>
      <c r="E20" s="274">
        <v>0</v>
      </c>
      <c r="F20" s="10">
        <f t="shared" si="4"/>
        <v>0</v>
      </c>
      <c r="G20" s="289">
        <v>0</v>
      </c>
      <c r="H20" s="10">
        <f t="shared" si="5"/>
        <v>0</v>
      </c>
    </row>
    <row r="21" spans="1:8">
      <c r="A21" s="469"/>
      <c r="B21" s="273" t="s">
        <v>402</v>
      </c>
      <c r="C21" s="288">
        <v>0.05</v>
      </c>
      <c r="D21" s="10">
        <f t="shared" si="3"/>
        <v>70</v>
      </c>
      <c r="E21" s="274">
        <v>10</v>
      </c>
      <c r="F21" s="10">
        <f t="shared" si="4"/>
        <v>700</v>
      </c>
      <c r="G21" s="289">
        <v>0.03</v>
      </c>
      <c r="H21" s="10">
        <f t="shared" si="5"/>
        <v>679</v>
      </c>
    </row>
    <row r="22" spans="1:8">
      <c r="A22" s="470"/>
      <c r="B22" s="273" t="s">
        <v>678</v>
      </c>
      <c r="C22" s="288">
        <v>0</v>
      </c>
      <c r="D22" s="10">
        <f t="shared" si="3"/>
        <v>0</v>
      </c>
      <c r="E22" s="274">
        <v>0</v>
      </c>
      <c r="F22" s="10">
        <f t="shared" si="4"/>
        <v>0</v>
      </c>
      <c r="G22" s="289">
        <v>0</v>
      </c>
      <c r="H22" s="10">
        <f t="shared" si="5"/>
        <v>0</v>
      </c>
    </row>
    <row r="23" spans="1:8">
      <c r="A23" s="303" t="s">
        <v>483</v>
      </c>
      <c r="B23" s="313">
        <v>0.6</v>
      </c>
      <c r="C23" s="315">
        <f>B9*B23</f>
        <v>840</v>
      </c>
      <c r="D23" s="10"/>
      <c r="E23" s="274"/>
      <c r="F23" s="10"/>
      <c r="G23" s="289"/>
      <c r="H23" s="10"/>
    </row>
    <row r="24" spans="1:8">
      <c r="A24" s="468" t="s">
        <v>400</v>
      </c>
      <c r="B24" s="273" t="s">
        <v>401</v>
      </c>
      <c r="C24" s="288">
        <v>0.15</v>
      </c>
      <c r="D24" s="10">
        <f>C$23*C24</f>
        <v>126</v>
      </c>
      <c r="E24" s="274">
        <v>15</v>
      </c>
      <c r="F24" s="10">
        <f t="shared" si="4"/>
        <v>1890</v>
      </c>
      <c r="G24" s="289">
        <v>0.05</v>
      </c>
      <c r="H24" s="10">
        <f t="shared" si="5"/>
        <v>1795.5</v>
      </c>
    </row>
    <row r="25" spans="1:8">
      <c r="A25" s="469"/>
      <c r="B25" s="273" t="s">
        <v>678</v>
      </c>
      <c r="C25" s="288">
        <v>0.7</v>
      </c>
      <c r="D25" s="10">
        <f>C$23*C25</f>
        <v>588</v>
      </c>
      <c r="E25" s="274">
        <v>10</v>
      </c>
      <c r="F25" s="10">
        <f t="shared" si="4"/>
        <v>5880</v>
      </c>
      <c r="G25" s="289">
        <v>0.05</v>
      </c>
      <c r="H25" s="10">
        <f t="shared" si="5"/>
        <v>5586</v>
      </c>
    </row>
    <row r="26" spans="1:8">
      <c r="A26" s="469"/>
      <c r="B26" s="273" t="s">
        <v>402</v>
      </c>
      <c r="C26" s="288">
        <v>0.1</v>
      </c>
      <c r="D26" s="10">
        <f>C$23*C26</f>
        <v>84</v>
      </c>
      <c r="E26" s="274">
        <v>8</v>
      </c>
      <c r="F26" s="10">
        <f t="shared" si="4"/>
        <v>672</v>
      </c>
      <c r="G26" s="289">
        <v>0.03</v>
      </c>
      <c r="H26" s="10">
        <f t="shared" si="5"/>
        <v>651.84</v>
      </c>
    </row>
    <row r="27" spans="1:8">
      <c r="A27" s="469"/>
      <c r="B27" s="273" t="s">
        <v>399</v>
      </c>
      <c r="C27" s="288">
        <v>0</v>
      </c>
      <c r="D27" s="10">
        <f t="shared" ref="D27:D31" si="6">C$23*C27</f>
        <v>0</v>
      </c>
      <c r="E27" s="274">
        <v>0</v>
      </c>
      <c r="F27" s="10">
        <f t="shared" si="4"/>
        <v>0</v>
      </c>
      <c r="G27" s="289">
        <v>0</v>
      </c>
      <c r="H27" s="10">
        <f t="shared" si="5"/>
        <v>0</v>
      </c>
    </row>
    <row r="28" spans="1:8">
      <c r="A28" s="469"/>
      <c r="B28" s="273" t="s">
        <v>481</v>
      </c>
      <c r="C28" s="288">
        <v>0</v>
      </c>
      <c r="D28" s="10">
        <f t="shared" si="6"/>
        <v>0</v>
      </c>
      <c r="E28" s="274"/>
      <c r="F28" s="10">
        <f t="shared" si="4"/>
        <v>0</v>
      </c>
      <c r="G28" s="289">
        <v>0</v>
      </c>
      <c r="H28" s="10">
        <f t="shared" si="5"/>
        <v>0</v>
      </c>
    </row>
    <row r="29" spans="1:8">
      <c r="A29" s="469"/>
      <c r="B29" s="273" t="s">
        <v>698</v>
      </c>
      <c r="C29" s="288">
        <v>0.05</v>
      </c>
      <c r="D29" s="10">
        <f t="shared" si="6"/>
        <v>42</v>
      </c>
      <c r="E29" s="274">
        <v>5</v>
      </c>
      <c r="F29" s="10">
        <f t="shared" si="4"/>
        <v>210</v>
      </c>
      <c r="G29" s="289">
        <v>0.01</v>
      </c>
      <c r="H29" s="10">
        <f t="shared" si="5"/>
        <v>207.9</v>
      </c>
    </row>
    <row r="30" spans="1:8">
      <c r="A30" s="469"/>
      <c r="B30" s="273"/>
      <c r="C30" s="288">
        <v>0</v>
      </c>
      <c r="D30" s="10">
        <f t="shared" si="6"/>
        <v>0</v>
      </c>
      <c r="E30" s="274"/>
      <c r="F30" s="10">
        <f t="shared" si="4"/>
        <v>0</v>
      </c>
      <c r="G30" s="289">
        <v>0</v>
      </c>
      <c r="H30" s="10">
        <f t="shared" si="5"/>
        <v>0</v>
      </c>
    </row>
    <row r="31" spans="1:8">
      <c r="A31" s="470"/>
      <c r="B31" s="273"/>
      <c r="C31" s="288">
        <v>0</v>
      </c>
      <c r="D31" s="10">
        <f t="shared" si="6"/>
        <v>0</v>
      </c>
      <c r="E31" s="274"/>
      <c r="F31" s="10">
        <f t="shared" si="4"/>
        <v>0</v>
      </c>
      <c r="G31" s="289">
        <v>0</v>
      </c>
      <c r="H31" s="10">
        <f t="shared" si="5"/>
        <v>0</v>
      </c>
    </row>
    <row r="32" spans="1:8">
      <c r="A32" s="303" t="s">
        <v>482</v>
      </c>
      <c r="B32" s="313">
        <v>0.1</v>
      </c>
      <c r="C32" s="282">
        <f>B9*B32</f>
        <v>140</v>
      </c>
      <c r="D32" s="10"/>
      <c r="E32" s="274"/>
      <c r="F32" s="10"/>
      <c r="G32" s="289"/>
      <c r="H32" s="10"/>
    </row>
    <row r="33" spans="1:8">
      <c r="A33" s="316" t="s">
        <v>466</v>
      </c>
      <c r="B33" s="273" t="s">
        <v>165</v>
      </c>
      <c r="C33" s="288">
        <v>0.05</v>
      </c>
      <c r="D33" s="10">
        <f>C$32*C33</f>
        <v>7</v>
      </c>
      <c r="E33" s="274">
        <v>4</v>
      </c>
      <c r="F33" s="10">
        <f t="shared" si="4"/>
        <v>28</v>
      </c>
      <c r="G33" s="289">
        <v>0.01</v>
      </c>
      <c r="H33" s="10">
        <f t="shared" si="5"/>
        <v>27.72</v>
      </c>
    </row>
    <row r="34" spans="1:8">
      <c r="A34" s="317"/>
      <c r="B34" s="273" t="s">
        <v>713</v>
      </c>
      <c r="C34" s="288">
        <v>0.05</v>
      </c>
      <c r="D34" s="10">
        <f>C$32*C34</f>
        <v>7</v>
      </c>
      <c r="E34" s="274">
        <v>3</v>
      </c>
      <c r="F34" s="10">
        <f t="shared" si="4"/>
        <v>21</v>
      </c>
      <c r="G34" s="289">
        <v>0.01</v>
      </c>
      <c r="H34" s="10">
        <f t="shared" si="5"/>
        <v>20.79</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7" t="s">
        <v>403</v>
      </c>
      <c r="B37" s="467"/>
      <c r="C37" s="467"/>
      <c r="D37" s="467"/>
      <c r="E37" s="467"/>
      <c r="F37" s="467"/>
      <c r="G37" s="467"/>
      <c r="H37" s="467"/>
    </row>
    <row r="39" spans="1:8" ht="18.75">
      <c r="A39" s="471" t="s">
        <v>562</v>
      </c>
      <c r="B39" s="472"/>
      <c r="C39" s="472"/>
      <c r="D39" s="472"/>
      <c r="E39" s="472"/>
      <c r="F39" s="472"/>
      <c r="G39" s="472"/>
      <c r="H39" s="473"/>
    </row>
    <row r="40" spans="1:8">
      <c r="A40" s="474"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5"/>
      <c r="B41" s="295" t="s">
        <v>2</v>
      </c>
      <c r="C41" s="295" t="s">
        <v>3</v>
      </c>
      <c r="D41" s="295" t="s">
        <v>4</v>
      </c>
      <c r="E41" s="295" t="s">
        <v>5</v>
      </c>
      <c r="F41" s="295" t="s">
        <v>6</v>
      </c>
      <c r="G41" s="295" t="s">
        <v>167</v>
      </c>
      <c r="H41" s="295" t="s">
        <v>166</v>
      </c>
    </row>
    <row r="42" spans="1:8">
      <c r="A42" s="10" t="str">
        <f t="shared" ref="A42:A50" si="8">B14</f>
        <v>Soybean</v>
      </c>
      <c r="B42" s="10">
        <f t="shared" ref="B42:B50" si="9">H14*$B$40</f>
        <v>1871.1</v>
      </c>
      <c r="C42" s="10">
        <f t="shared" ref="C42:H51" si="10">(B42/B$40)*C$40</f>
        <v>2182.9499999999998</v>
      </c>
      <c r="D42" s="10">
        <f t="shared" si="10"/>
        <v>2494.7999999999997</v>
      </c>
      <c r="E42" s="10">
        <f t="shared" si="10"/>
        <v>2806.6499999999996</v>
      </c>
      <c r="F42" s="10">
        <f t="shared" si="10"/>
        <v>3118.4999999999995</v>
      </c>
      <c r="G42" s="10">
        <f t="shared" si="10"/>
        <v>3430.3499999999995</v>
      </c>
      <c r="H42" s="10">
        <f t="shared" si="10"/>
        <v>3742.2</v>
      </c>
    </row>
    <row r="43" spans="1:8">
      <c r="A43" s="10" t="str">
        <f t="shared" si="8"/>
        <v>Tur</v>
      </c>
      <c r="B43" s="10">
        <f t="shared" si="9"/>
        <v>199.5</v>
      </c>
      <c r="C43" s="10">
        <f t="shared" si="10"/>
        <v>232.74999999999997</v>
      </c>
      <c r="D43" s="10">
        <f t="shared" si="10"/>
        <v>266</v>
      </c>
      <c r="E43" s="10">
        <f t="shared" si="10"/>
        <v>299.24999999999994</v>
      </c>
      <c r="F43" s="10">
        <f t="shared" si="10"/>
        <v>332.49999999999989</v>
      </c>
      <c r="G43" s="10">
        <f t="shared" si="10"/>
        <v>365.74999999999989</v>
      </c>
      <c r="H43" s="10">
        <f t="shared" si="10"/>
        <v>398.99999999999994</v>
      </c>
    </row>
    <row r="44" spans="1:8">
      <c r="A44" s="10" t="str">
        <f t="shared" si="8"/>
        <v>Turmeric</v>
      </c>
      <c r="B44" s="10">
        <f t="shared" si="9"/>
        <v>2182.9499999999998</v>
      </c>
      <c r="C44" s="10">
        <f t="shared" si="10"/>
        <v>2546.7749999999996</v>
      </c>
      <c r="D44" s="10">
        <f t="shared" si="10"/>
        <v>2910.5999999999995</v>
      </c>
      <c r="E44" s="10">
        <f t="shared" si="10"/>
        <v>3274.4249999999993</v>
      </c>
      <c r="F44" s="10">
        <f t="shared" si="10"/>
        <v>3638.2499999999991</v>
      </c>
      <c r="G44" s="10">
        <f t="shared" si="10"/>
        <v>4002.0749999999989</v>
      </c>
      <c r="H44" s="10">
        <f t="shared" si="10"/>
        <v>4365.8999999999996</v>
      </c>
    </row>
    <row r="45" spans="1:8">
      <c r="A45" s="10" t="str">
        <f t="shared" si="8"/>
        <v>Moong</v>
      </c>
      <c r="B45" s="10">
        <f t="shared" si="9"/>
        <v>145.53</v>
      </c>
      <c r="C45" s="10">
        <f t="shared" si="10"/>
        <v>169.785</v>
      </c>
      <c r="D45" s="10">
        <f t="shared" si="10"/>
        <v>194.04</v>
      </c>
      <c r="E45" s="10">
        <f t="shared" si="10"/>
        <v>218.29499999999999</v>
      </c>
      <c r="F45" s="10">
        <f t="shared" si="10"/>
        <v>242.54999999999998</v>
      </c>
      <c r="G45" s="10">
        <f t="shared" si="10"/>
        <v>266.80500000000001</v>
      </c>
      <c r="H45" s="10">
        <f t="shared" si="10"/>
        <v>291.06000000000006</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166.32</v>
      </c>
      <c r="C47" s="10">
        <f t="shared" si="10"/>
        <v>194.04</v>
      </c>
      <c r="D47" s="10">
        <f t="shared" si="10"/>
        <v>221.75999999999996</v>
      </c>
      <c r="E47" s="10">
        <f t="shared" si="10"/>
        <v>249.47999999999996</v>
      </c>
      <c r="F47" s="10">
        <f t="shared" si="10"/>
        <v>277.19999999999993</v>
      </c>
      <c r="G47" s="10">
        <f t="shared" si="10"/>
        <v>304.91999999999996</v>
      </c>
      <c r="H47" s="10">
        <f t="shared" si="10"/>
        <v>332.64</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203.7</v>
      </c>
      <c r="C49" s="10">
        <f t="shared" si="10"/>
        <v>237.64999999999998</v>
      </c>
      <c r="D49" s="10">
        <f t="shared" si="10"/>
        <v>271.59999999999997</v>
      </c>
      <c r="E49" s="10">
        <f t="shared" si="10"/>
        <v>305.54999999999995</v>
      </c>
      <c r="F49" s="10">
        <f t="shared" si="10"/>
        <v>339.49999999999994</v>
      </c>
      <c r="G49" s="10">
        <f t="shared" si="10"/>
        <v>373.44999999999993</v>
      </c>
      <c r="H49" s="10">
        <f t="shared" si="10"/>
        <v>407.4</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538.65</v>
      </c>
      <c r="C51" s="10">
        <f t="shared" si="10"/>
        <v>628.42499999999995</v>
      </c>
      <c r="D51" s="10">
        <f t="shared" si="10"/>
        <v>718.19999999999993</v>
      </c>
      <c r="E51" s="10">
        <f t="shared" si="10"/>
        <v>807.97499999999991</v>
      </c>
      <c r="F51" s="10">
        <f t="shared" si="10"/>
        <v>897.74999999999989</v>
      </c>
      <c r="G51" s="10">
        <f t="shared" si="10"/>
        <v>987.52499999999986</v>
      </c>
      <c r="H51" s="10">
        <f t="shared" si="10"/>
        <v>1077.3</v>
      </c>
    </row>
    <row r="52" spans="1:8">
      <c r="A52" s="10" t="str">
        <f t="shared" si="11"/>
        <v>Channa</v>
      </c>
      <c r="B52" s="10">
        <f t="shared" si="12"/>
        <v>1675.8</v>
      </c>
      <c r="C52" s="10">
        <f t="shared" ref="C52:H61" si="13">(B52/B$40)*C$40</f>
        <v>1955.1</v>
      </c>
      <c r="D52" s="10">
        <f t="shared" si="13"/>
        <v>2234.3999999999996</v>
      </c>
      <c r="E52" s="10">
        <f t="shared" si="13"/>
        <v>2513.6999999999998</v>
      </c>
      <c r="F52" s="10">
        <f t="shared" si="13"/>
        <v>2792.9999999999995</v>
      </c>
      <c r="G52" s="10">
        <f t="shared" si="13"/>
        <v>3072.2999999999997</v>
      </c>
      <c r="H52" s="10">
        <f t="shared" si="13"/>
        <v>3351.6</v>
      </c>
    </row>
    <row r="53" spans="1:8">
      <c r="A53" s="10" t="str">
        <f t="shared" si="11"/>
        <v>Jawar</v>
      </c>
      <c r="B53" s="10">
        <f t="shared" si="12"/>
        <v>195.55199999999999</v>
      </c>
      <c r="C53" s="10">
        <f t="shared" si="13"/>
        <v>228.14400000000001</v>
      </c>
      <c r="D53" s="10">
        <f t="shared" si="13"/>
        <v>260.73599999999999</v>
      </c>
      <c r="E53" s="10">
        <f t="shared" si="13"/>
        <v>293.32799999999997</v>
      </c>
      <c r="F53" s="10">
        <f t="shared" si="13"/>
        <v>325.91999999999996</v>
      </c>
      <c r="G53" s="10">
        <f t="shared" si="13"/>
        <v>358.512</v>
      </c>
      <c r="H53" s="10">
        <f t="shared" si="13"/>
        <v>391.10399999999998</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62.37</v>
      </c>
      <c r="C56" s="10">
        <f t="shared" si="13"/>
        <v>72.765000000000001</v>
      </c>
      <c r="D56" s="10">
        <f t="shared" si="13"/>
        <v>83.16</v>
      </c>
      <c r="E56" s="10">
        <f t="shared" si="13"/>
        <v>93.554999999999993</v>
      </c>
      <c r="F56" s="10">
        <f t="shared" si="13"/>
        <v>103.94999999999999</v>
      </c>
      <c r="G56" s="10">
        <f t="shared" si="13"/>
        <v>114.34499999999998</v>
      </c>
      <c r="H56" s="10">
        <f t="shared" si="13"/>
        <v>124.74</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8.3159999999999989</v>
      </c>
      <c r="C59" s="10">
        <f t="shared" si="13"/>
        <v>9.7019999999999982</v>
      </c>
      <c r="D59" s="10">
        <f t="shared" si="13"/>
        <v>11.087999999999997</v>
      </c>
      <c r="E59" s="10">
        <f t="shared" si="13"/>
        <v>12.473999999999997</v>
      </c>
      <c r="F59" s="10">
        <f t="shared" si="13"/>
        <v>13.859999999999996</v>
      </c>
      <c r="G59" s="10">
        <f t="shared" si="13"/>
        <v>15.245999999999995</v>
      </c>
      <c r="H59" s="10">
        <f t="shared" si="13"/>
        <v>16.631999999999998</v>
      </c>
    </row>
    <row r="60" spans="1:8">
      <c r="A60" s="10" t="str">
        <f>B34</f>
        <v>Paddy</v>
      </c>
      <c r="B60" s="10">
        <f>H34*$B$40</f>
        <v>6.2369999999999992</v>
      </c>
      <c r="C60" s="10">
        <f t="shared" si="13"/>
        <v>7.2764999999999995</v>
      </c>
      <c r="D60" s="10">
        <f t="shared" si="13"/>
        <v>8.3159999999999989</v>
      </c>
      <c r="E60" s="10">
        <f t="shared" si="13"/>
        <v>9.3554999999999993</v>
      </c>
      <c r="F60" s="10">
        <f t="shared" si="13"/>
        <v>10.394999999999998</v>
      </c>
      <c r="G60" s="10">
        <f t="shared" si="13"/>
        <v>11.434499999999998</v>
      </c>
      <c r="H60" s="10">
        <f t="shared" si="13"/>
        <v>12.473999999999998</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6" t="s">
        <v>563</v>
      </c>
      <c r="B64" s="477"/>
      <c r="C64" s="477"/>
      <c r="D64" s="477"/>
      <c r="E64" s="477"/>
      <c r="F64" s="477"/>
      <c r="G64" s="477"/>
      <c r="H64" s="478"/>
    </row>
    <row r="65" spans="1:8">
      <c r="A65" s="479"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80"/>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66.5</v>
      </c>
      <c r="C68" s="10">
        <f>(B68/B$65)*C$65</f>
        <v>99.750000000000014</v>
      </c>
      <c r="D68" s="10">
        <f t="shared" si="17"/>
        <v>133</v>
      </c>
      <c r="E68" s="10">
        <f t="shared" si="17"/>
        <v>166.25</v>
      </c>
      <c r="F68" s="10">
        <f t="shared" si="17"/>
        <v>199.5</v>
      </c>
      <c r="G68" s="10">
        <f t="shared" si="17"/>
        <v>232.74999999999997</v>
      </c>
      <c r="H68" s="10">
        <f t="shared" si="17"/>
        <v>266</v>
      </c>
    </row>
    <row r="69" spans="1:8">
      <c r="A69" s="10" t="str">
        <f t="shared" si="16"/>
        <v>Turmeric</v>
      </c>
      <c r="B69" s="10">
        <f t="shared" si="18"/>
        <v>727.65</v>
      </c>
      <c r="C69" s="10">
        <f t="shared" ref="C69:H69" si="19">(B69/B$65)*C$65</f>
        <v>1091.4750000000001</v>
      </c>
      <c r="D69" s="10">
        <f t="shared" si="19"/>
        <v>1455.3000000000002</v>
      </c>
      <c r="E69" s="10">
        <f t="shared" si="19"/>
        <v>1819.1250000000002</v>
      </c>
      <c r="F69" s="10">
        <f t="shared" si="19"/>
        <v>2182.9500000000003</v>
      </c>
      <c r="G69" s="10">
        <f t="shared" si="19"/>
        <v>2546.7750000000001</v>
      </c>
      <c r="H69" s="10">
        <f t="shared" si="19"/>
        <v>2910.6</v>
      </c>
    </row>
    <row r="70" spans="1:8">
      <c r="A70" s="10" t="str">
        <f t="shared" si="16"/>
        <v>Moong</v>
      </c>
      <c r="B70" s="10">
        <f t="shared" si="18"/>
        <v>48.510000000000005</v>
      </c>
      <c r="C70" s="10">
        <f t="shared" ref="C70:H70" si="20">(B70/B$65)*C$65</f>
        <v>72.765000000000015</v>
      </c>
      <c r="D70" s="10">
        <f t="shared" si="20"/>
        <v>97.02000000000001</v>
      </c>
      <c r="E70" s="10">
        <f t="shared" si="20"/>
        <v>121.27500000000001</v>
      </c>
      <c r="F70" s="10">
        <f t="shared" si="20"/>
        <v>145.53</v>
      </c>
      <c r="G70" s="10">
        <f t="shared" si="20"/>
        <v>169.785</v>
      </c>
      <c r="H70" s="10">
        <f t="shared" si="20"/>
        <v>194.04</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55.44</v>
      </c>
      <c r="C72" s="10">
        <f t="shared" ref="C72:H72" si="22">(B72/B$65)*C$65</f>
        <v>83.160000000000011</v>
      </c>
      <c r="D72" s="10">
        <f t="shared" si="22"/>
        <v>110.88</v>
      </c>
      <c r="E72" s="10">
        <f t="shared" si="22"/>
        <v>138.6</v>
      </c>
      <c r="F72" s="10">
        <f t="shared" si="22"/>
        <v>166.32</v>
      </c>
      <c r="G72" s="10">
        <f t="shared" si="22"/>
        <v>194.04</v>
      </c>
      <c r="H72" s="10">
        <f t="shared" si="22"/>
        <v>221.75999999999996</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67.900000000000006</v>
      </c>
      <c r="C74" s="10">
        <f t="shared" ref="C74:H74" si="24">(B74/B$65)*C$65</f>
        <v>101.85000000000001</v>
      </c>
      <c r="D74" s="10">
        <f t="shared" si="24"/>
        <v>135.80000000000001</v>
      </c>
      <c r="E74" s="10">
        <f t="shared" si="24"/>
        <v>169.75</v>
      </c>
      <c r="F74" s="10">
        <f t="shared" si="24"/>
        <v>203.7</v>
      </c>
      <c r="G74" s="10">
        <f t="shared" si="24"/>
        <v>237.64999999999998</v>
      </c>
      <c r="H74" s="10">
        <f t="shared" si="24"/>
        <v>271.59999999999997</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179.55</v>
      </c>
      <c r="C76" s="10">
        <f t="shared" ref="C76:H76" si="27">(B76/B$65)*C$65</f>
        <v>269.32500000000005</v>
      </c>
      <c r="D76" s="10">
        <f t="shared" si="27"/>
        <v>359.1</v>
      </c>
      <c r="E76" s="10">
        <f t="shared" si="27"/>
        <v>448.875</v>
      </c>
      <c r="F76" s="10">
        <f t="shared" si="27"/>
        <v>538.65</v>
      </c>
      <c r="G76" s="10">
        <f t="shared" si="27"/>
        <v>628.42499999999995</v>
      </c>
      <c r="H76" s="10">
        <f t="shared" si="27"/>
        <v>718.19999999999993</v>
      </c>
    </row>
    <row r="77" spans="1:8">
      <c r="A77" s="10" t="str">
        <f t="shared" si="16"/>
        <v>Channa</v>
      </c>
      <c r="B77" s="10">
        <f t="shared" si="26"/>
        <v>558.6</v>
      </c>
      <c r="C77" s="10">
        <f t="shared" ref="C77:H77" si="28">(B77/B$65)*C$65</f>
        <v>837.90000000000009</v>
      </c>
      <c r="D77" s="10">
        <f t="shared" si="28"/>
        <v>1117.2</v>
      </c>
      <c r="E77" s="10">
        <f t="shared" si="28"/>
        <v>1396.5</v>
      </c>
      <c r="F77" s="10">
        <f t="shared" si="28"/>
        <v>1675.8</v>
      </c>
      <c r="G77" s="10">
        <f t="shared" si="28"/>
        <v>1955.1</v>
      </c>
      <c r="H77" s="10">
        <f t="shared" si="28"/>
        <v>2234.3999999999996</v>
      </c>
    </row>
    <row r="78" spans="1:8">
      <c r="A78" s="10" t="str">
        <f t="shared" si="16"/>
        <v>Jawar</v>
      </c>
      <c r="B78" s="10">
        <f t="shared" si="26"/>
        <v>65.184000000000012</v>
      </c>
      <c r="C78" s="10">
        <f t="shared" ref="C78:H78" si="29">(B78/B$65)*C$65</f>
        <v>97.776000000000025</v>
      </c>
      <c r="D78" s="10">
        <f t="shared" si="29"/>
        <v>130.36800000000002</v>
      </c>
      <c r="E78" s="10">
        <f t="shared" si="29"/>
        <v>162.96</v>
      </c>
      <c r="F78" s="10">
        <f t="shared" si="29"/>
        <v>195.55199999999999</v>
      </c>
      <c r="G78" s="10">
        <f t="shared" si="29"/>
        <v>228.14400000000001</v>
      </c>
      <c r="H78" s="10">
        <f t="shared" si="29"/>
        <v>260.73599999999999</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20.790000000000003</v>
      </c>
      <c r="C81" s="10">
        <f t="shared" ref="C81:H81" si="32">(B81/B$65)*C$65</f>
        <v>31.185000000000006</v>
      </c>
      <c r="D81" s="10">
        <f t="shared" si="32"/>
        <v>41.580000000000005</v>
      </c>
      <c r="E81" s="10">
        <f t="shared" si="32"/>
        <v>51.975000000000001</v>
      </c>
      <c r="F81" s="10">
        <f t="shared" si="32"/>
        <v>62.37</v>
      </c>
      <c r="G81" s="10">
        <f t="shared" si="32"/>
        <v>72.765000000000001</v>
      </c>
      <c r="H81" s="10">
        <f t="shared" si="32"/>
        <v>83.16</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2.7720000000000002</v>
      </c>
      <c r="C84" s="10">
        <f t="shared" ref="C84:H84" si="35">(B84/B$65)*C$65</f>
        <v>4.1580000000000013</v>
      </c>
      <c r="D84" s="10">
        <f t="shared" si="35"/>
        <v>5.5440000000000014</v>
      </c>
      <c r="E84" s="10">
        <f t="shared" si="35"/>
        <v>6.9300000000000015</v>
      </c>
      <c r="F84" s="10">
        <f t="shared" si="35"/>
        <v>8.3160000000000007</v>
      </c>
      <c r="G84" s="10">
        <f t="shared" si="35"/>
        <v>9.702</v>
      </c>
      <c r="H84" s="10">
        <f t="shared" si="35"/>
        <v>11.087999999999999</v>
      </c>
    </row>
    <row r="85" spans="1:9">
      <c r="A85" s="10" t="str">
        <f t="shared" si="16"/>
        <v>Paddy</v>
      </c>
      <c r="B85" s="10">
        <f>H34*$B$65</f>
        <v>2.0790000000000002</v>
      </c>
      <c r="C85" s="10">
        <f t="shared" ref="C85:H85" si="36">(B85/B$65)*C$65</f>
        <v>3.1185000000000005</v>
      </c>
      <c r="D85" s="10">
        <f t="shared" si="36"/>
        <v>4.1580000000000004</v>
      </c>
      <c r="E85" s="10">
        <f t="shared" si="36"/>
        <v>5.1974999999999998</v>
      </c>
      <c r="F85" s="10">
        <f t="shared" si="36"/>
        <v>6.2369999999999992</v>
      </c>
      <c r="G85" s="10">
        <f t="shared" si="36"/>
        <v>7.2764999999999995</v>
      </c>
      <c r="H85" s="10">
        <f t="shared" si="36"/>
        <v>8.3159999999999989</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1" t="s">
        <v>564</v>
      </c>
      <c r="B89" s="482"/>
      <c r="C89" s="482"/>
      <c r="D89" s="482"/>
      <c r="E89" s="482"/>
      <c r="F89" s="482"/>
      <c r="G89" s="482"/>
      <c r="H89" s="483"/>
    </row>
    <row r="90" spans="1:9">
      <c r="A90" s="465"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6"/>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409.5</v>
      </c>
      <c r="C92" s="292">
        <f t="shared" ref="C92:H92" si="42">(B92/B$90)*C$90</f>
        <v>441.00000000000006</v>
      </c>
      <c r="D92" s="292">
        <f t="shared" si="42"/>
        <v>472.50000000000006</v>
      </c>
      <c r="E92" s="292">
        <f t="shared" si="42"/>
        <v>504.00000000000011</v>
      </c>
      <c r="F92" s="292">
        <f t="shared" si="42"/>
        <v>535.50000000000011</v>
      </c>
      <c r="G92" s="292">
        <f t="shared" si="42"/>
        <v>567.00000000000011</v>
      </c>
      <c r="H92" s="292">
        <f t="shared" si="42"/>
        <v>598.50000000000023</v>
      </c>
    </row>
    <row r="93" spans="1:9">
      <c r="A93" s="10" t="str">
        <f t="shared" si="40"/>
        <v>Tur</v>
      </c>
      <c r="B93" s="10">
        <f t="shared" si="41"/>
        <v>45.5</v>
      </c>
      <c r="C93" s="292">
        <f t="shared" ref="C93:C113" si="43">(B93/B$90)*C$90</f>
        <v>49.000000000000007</v>
      </c>
      <c r="D93" s="292">
        <f>(C93/C90)*D90</f>
        <v>52.500000000000007</v>
      </c>
      <c r="E93" s="292">
        <f t="shared" ref="E93:G93" si="44">(D93/D90)*E90</f>
        <v>56.000000000000014</v>
      </c>
      <c r="F93" s="292">
        <f t="shared" si="44"/>
        <v>59.500000000000014</v>
      </c>
      <c r="G93" s="292">
        <f t="shared" si="44"/>
        <v>63.000000000000014</v>
      </c>
      <c r="H93" s="292">
        <f>(G93/G90)*H90</f>
        <v>66.500000000000014</v>
      </c>
    </row>
    <row r="94" spans="1:9">
      <c r="A94" s="10" t="str">
        <f t="shared" si="40"/>
        <v>Turmeric</v>
      </c>
      <c r="B94" s="10">
        <f t="shared" si="41"/>
        <v>318.5</v>
      </c>
      <c r="C94" s="292">
        <f t="shared" si="43"/>
        <v>343.00000000000006</v>
      </c>
      <c r="D94" s="292">
        <f t="shared" ref="D94:H103" si="45">(C94/C$90)*D$90</f>
        <v>367.50000000000011</v>
      </c>
      <c r="E94" s="292">
        <f t="shared" si="45"/>
        <v>392.00000000000011</v>
      </c>
      <c r="F94" s="292">
        <f t="shared" si="45"/>
        <v>416.50000000000017</v>
      </c>
      <c r="G94" s="292">
        <f t="shared" si="45"/>
        <v>441.00000000000023</v>
      </c>
      <c r="H94" s="292">
        <f t="shared" si="45"/>
        <v>465.50000000000023</v>
      </c>
    </row>
    <row r="95" spans="1:9">
      <c r="A95" s="10" t="str">
        <f t="shared" si="40"/>
        <v>Moong</v>
      </c>
      <c r="B95" s="10">
        <f t="shared" si="41"/>
        <v>45.5</v>
      </c>
      <c r="C95" s="292">
        <f t="shared" si="43"/>
        <v>49.000000000000007</v>
      </c>
      <c r="D95" s="292">
        <f t="shared" si="45"/>
        <v>52.500000000000007</v>
      </c>
      <c r="E95" s="292">
        <f t="shared" si="45"/>
        <v>56.000000000000014</v>
      </c>
      <c r="F95" s="292">
        <f t="shared" si="45"/>
        <v>59.500000000000014</v>
      </c>
      <c r="G95" s="292">
        <f t="shared" si="45"/>
        <v>63.000000000000014</v>
      </c>
      <c r="H95" s="292">
        <f t="shared" si="45"/>
        <v>66.500000000000014</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45.5</v>
      </c>
      <c r="C97" s="292">
        <f t="shared" si="43"/>
        <v>49.000000000000007</v>
      </c>
      <c r="D97" s="292">
        <f t="shared" si="45"/>
        <v>52.500000000000007</v>
      </c>
      <c r="E97" s="292">
        <f t="shared" si="45"/>
        <v>56.000000000000014</v>
      </c>
      <c r="F97" s="292">
        <f t="shared" si="45"/>
        <v>59.500000000000014</v>
      </c>
      <c r="G97" s="292">
        <f t="shared" si="45"/>
        <v>63.000000000000014</v>
      </c>
      <c r="H97" s="292">
        <f t="shared" si="45"/>
        <v>66.500000000000014</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45.5</v>
      </c>
      <c r="C99" s="292">
        <f t="shared" si="43"/>
        <v>49.000000000000007</v>
      </c>
      <c r="D99" s="292">
        <f t="shared" si="45"/>
        <v>52.500000000000007</v>
      </c>
      <c r="E99" s="292">
        <f t="shared" si="45"/>
        <v>56.000000000000014</v>
      </c>
      <c r="F99" s="292">
        <f t="shared" si="45"/>
        <v>59.500000000000014</v>
      </c>
      <c r="G99" s="292">
        <f t="shared" si="45"/>
        <v>63.000000000000014</v>
      </c>
      <c r="H99" s="292">
        <f t="shared" si="45"/>
        <v>66.500000000000014</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81.900000000000006</v>
      </c>
      <c r="C101" s="292">
        <f t="shared" si="43"/>
        <v>88.2</v>
      </c>
      <c r="D101" s="292">
        <f t="shared" si="45"/>
        <v>94.5</v>
      </c>
      <c r="E101" s="292">
        <f t="shared" si="45"/>
        <v>100.80000000000001</v>
      </c>
      <c r="F101" s="292">
        <f t="shared" si="45"/>
        <v>107.10000000000001</v>
      </c>
      <c r="G101" s="292">
        <f t="shared" si="45"/>
        <v>113.40000000000002</v>
      </c>
      <c r="H101" s="292">
        <f t="shared" si="45"/>
        <v>119.70000000000002</v>
      </c>
    </row>
    <row r="102" spans="1:8">
      <c r="A102" s="10" t="str">
        <f t="shared" si="40"/>
        <v>Channa</v>
      </c>
      <c r="B102" s="10">
        <f t="shared" si="46"/>
        <v>382.2</v>
      </c>
      <c r="C102" s="292">
        <f t="shared" si="43"/>
        <v>411.6</v>
      </c>
      <c r="D102" s="292">
        <f t="shared" si="45"/>
        <v>441.00000000000006</v>
      </c>
      <c r="E102" s="292">
        <f t="shared" si="45"/>
        <v>470.40000000000009</v>
      </c>
      <c r="F102" s="292">
        <f t="shared" si="45"/>
        <v>499.80000000000013</v>
      </c>
      <c r="G102" s="292">
        <f t="shared" si="45"/>
        <v>529.20000000000016</v>
      </c>
      <c r="H102" s="292">
        <f t="shared" si="45"/>
        <v>558.60000000000014</v>
      </c>
    </row>
    <row r="103" spans="1:8">
      <c r="A103" s="10" t="str">
        <f t="shared" si="40"/>
        <v>Jawar</v>
      </c>
      <c r="B103" s="10">
        <f t="shared" si="46"/>
        <v>54.6</v>
      </c>
      <c r="C103" s="292">
        <f t="shared" si="43"/>
        <v>58.800000000000004</v>
      </c>
      <c r="D103" s="292">
        <f t="shared" si="45"/>
        <v>63.000000000000007</v>
      </c>
      <c r="E103" s="292">
        <f t="shared" si="45"/>
        <v>67.200000000000017</v>
      </c>
      <c r="F103" s="292">
        <f t="shared" si="45"/>
        <v>71.40000000000002</v>
      </c>
      <c r="G103" s="292">
        <f t="shared" si="45"/>
        <v>75.600000000000023</v>
      </c>
      <c r="H103" s="292">
        <f t="shared" si="45"/>
        <v>79.800000000000026</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27.3</v>
      </c>
      <c r="C106" s="292">
        <f t="shared" si="43"/>
        <v>29.400000000000002</v>
      </c>
      <c r="D106" s="292">
        <f t="shared" si="47"/>
        <v>31.500000000000004</v>
      </c>
      <c r="E106" s="292">
        <f t="shared" si="47"/>
        <v>33.600000000000009</v>
      </c>
      <c r="F106" s="292">
        <f t="shared" si="47"/>
        <v>35.70000000000001</v>
      </c>
      <c r="G106" s="292">
        <f t="shared" si="47"/>
        <v>37.800000000000011</v>
      </c>
      <c r="H106" s="292">
        <f t="shared" si="47"/>
        <v>39.900000000000013</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4.55</v>
      </c>
      <c r="C109" s="292">
        <f t="shared" si="43"/>
        <v>4.8999999999999995</v>
      </c>
      <c r="D109" s="292">
        <f t="shared" si="47"/>
        <v>5.2499999999999991</v>
      </c>
      <c r="E109" s="292">
        <f t="shared" si="47"/>
        <v>5.6</v>
      </c>
      <c r="F109" s="292">
        <f t="shared" si="47"/>
        <v>5.95</v>
      </c>
      <c r="G109" s="292">
        <f t="shared" si="47"/>
        <v>6.3</v>
      </c>
      <c r="H109" s="292">
        <f t="shared" si="47"/>
        <v>6.65</v>
      </c>
    </row>
    <row r="110" spans="1:8">
      <c r="A110" s="10" t="str">
        <f t="shared" si="40"/>
        <v>Paddy</v>
      </c>
      <c r="B110" s="10">
        <f>D34*$B$90</f>
        <v>4.55</v>
      </c>
      <c r="C110" s="292">
        <f t="shared" si="43"/>
        <v>4.8999999999999995</v>
      </c>
      <c r="D110" s="292">
        <f t="shared" si="47"/>
        <v>5.2499999999999991</v>
      </c>
      <c r="E110" s="292">
        <f t="shared" si="47"/>
        <v>5.6</v>
      </c>
      <c r="F110" s="292">
        <f t="shared" si="47"/>
        <v>5.95</v>
      </c>
      <c r="G110" s="292">
        <f t="shared" si="47"/>
        <v>6.3</v>
      </c>
      <c r="H110" s="292">
        <f t="shared" si="47"/>
        <v>6.65</v>
      </c>
    </row>
    <row r="111" spans="1:8">
      <c r="A111" s="10">
        <f t="shared" si="40"/>
        <v>0</v>
      </c>
      <c r="B111" s="10">
        <f>D34*$B$90</f>
        <v>4.55</v>
      </c>
      <c r="C111" s="292">
        <f t="shared" si="43"/>
        <v>4.8999999999999995</v>
      </c>
      <c r="D111" s="292">
        <f t="shared" si="47"/>
        <v>5.2499999999999991</v>
      </c>
      <c r="E111" s="292">
        <f t="shared" si="47"/>
        <v>5.6</v>
      </c>
      <c r="F111" s="292">
        <f t="shared" si="47"/>
        <v>5.95</v>
      </c>
      <c r="G111" s="292">
        <f t="shared" si="47"/>
        <v>6.3</v>
      </c>
      <c r="H111" s="292">
        <f t="shared" si="47"/>
        <v>6.65</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542</v>
      </c>
      <c r="C116" s="293"/>
      <c r="D116" s="293"/>
      <c r="E116" s="293"/>
      <c r="F116" s="293"/>
      <c r="G116" s="293"/>
      <c r="H116" s="293"/>
      <c r="I116" s="293"/>
    </row>
    <row r="117" spans="1:9">
      <c r="A117">
        <v>1</v>
      </c>
      <c r="B117" t="s">
        <v>585</v>
      </c>
    </row>
    <row r="118" spans="1:9">
      <c r="A118">
        <v>2</v>
      </c>
      <c r="B118" t="s">
        <v>586</v>
      </c>
    </row>
    <row r="119" spans="1:9">
      <c r="A119">
        <v>3</v>
      </c>
      <c r="B119" t="s">
        <v>545</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3" t="s">
        <v>501</v>
      </c>
      <c r="B1" s="413"/>
      <c r="C1" s="413"/>
      <c r="D1" s="413"/>
      <c r="E1" s="413"/>
      <c r="F1" s="413"/>
      <c r="G1" s="413"/>
      <c r="H1" s="413"/>
    </row>
    <row r="2" spans="1:26">
      <c r="B2" s="4"/>
    </row>
    <row r="3" spans="1:26" ht="18.75">
      <c r="A3" s="464" t="s">
        <v>565</v>
      </c>
      <c r="B3" s="464"/>
    </row>
    <row r="4" spans="1:26">
      <c r="A4" s="277" t="s">
        <v>0</v>
      </c>
      <c r="B4" s="295" t="s">
        <v>390</v>
      </c>
      <c r="C4" s="296"/>
      <c r="D4" s="296"/>
      <c r="E4" s="296"/>
      <c r="F4" s="296"/>
      <c r="G4" s="296"/>
      <c r="H4" s="296"/>
    </row>
    <row r="5" spans="1:26">
      <c r="A5" s="10" t="s">
        <v>494</v>
      </c>
      <c r="B5" s="273">
        <v>0</v>
      </c>
      <c r="C5" s="297"/>
      <c r="D5" s="298"/>
      <c r="E5" s="298"/>
      <c r="F5" s="298"/>
      <c r="G5" s="298"/>
      <c r="H5" s="298"/>
    </row>
    <row r="6" spans="1:26">
      <c r="A6" s="10" t="s">
        <v>495</v>
      </c>
      <c r="B6" s="273">
        <v>0</v>
      </c>
      <c r="C6" s="297"/>
      <c r="D6" s="298"/>
      <c r="E6" s="298"/>
      <c r="F6" s="298"/>
      <c r="G6" s="298"/>
      <c r="H6" s="298"/>
    </row>
    <row r="7" spans="1:26">
      <c r="A7" s="2" t="s">
        <v>1</v>
      </c>
      <c r="B7" s="321">
        <f>B5+B6</f>
        <v>0</v>
      </c>
      <c r="C7" s="299"/>
      <c r="D7" s="300"/>
      <c r="E7" s="300"/>
      <c r="F7" s="300"/>
      <c r="G7" s="300"/>
      <c r="H7" s="300"/>
    </row>
    <row r="8" spans="1:26">
      <c r="A8" s="2" t="s">
        <v>496</v>
      </c>
      <c r="B8" s="320">
        <v>0</v>
      </c>
      <c r="C8" s="299"/>
      <c r="D8" s="299"/>
      <c r="E8" s="299"/>
      <c r="F8" s="299"/>
      <c r="G8" s="299"/>
      <c r="H8" s="299"/>
    </row>
    <row r="9" spans="1:26">
      <c r="A9" s="2" t="s">
        <v>497</v>
      </c>
      <c r="B9" s="321">
        <f>B7*B8</f>
        <v>0</v>
      </c>
      <c r="C9" s="300"/>
      <c r="D9" s="300"/>
      <c r="E9" s="300"/>
      <c r="F9" s="300"/>
      <c r="G9" s="300"/>
      <c r="H9" s="300"/>
    </row>
    <row r="10" spans="1:26">
      <c r="J10" t="s">
        <v>459</v>
      </c>
      <c r="O10" t="s">
        <v>455</v>
      </c>
      <c r="U10" t="s">
        <v>456</v>
      </c>
      <c r="Y10" t="s">
        <v>457</v>
      </c>
      <c r="Z10" t="s">
        <v>458</v>
      </c>
    </row>
    <row r="11" spans="1:26" ht="18.75">
      <c r="A11" s="413" t="s">
        <v>566</v>
      </c>
      <c r="B11" s="413"/>
      <c r="C11" s="413"/>
      <c r="D11" s="413"/>
      <c r="E11" s="413"/>
      <c r="F11" s="413"/>
      <c r="G11" s="413"/>
      <c r="H11" s="413"/>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452</v>
      </c>
      <c r="D13" s="278" t="s">
        <v>460</v>
      </c>
      <c r="E13" s="278" t="s">
        <v>461</v>
      </c>
      <c r="F13" s="278" t="s">
        <v>396</v>
      </c>
      <c r="G13" s="278" t="s">
        <v>633</v>
      </c>
      <c r="H13" s="278" t="s">
        <v>397</v>
      </c>
      <c r="O13" s="290" t="s">
        <v>2</v>
      </c>
      <c r="P13" s="290" t="s">
        <v>3</v>
      </c>
      <c r="Q13" s="290" t="s">
        <v>4</v>
      </c>
      <c r="R13" s="290" t="s">
        <v>5</v>
      </c>
      <c r="S13" s="290" t="s">
        <v>6</v>
      </c>
      <c r="T13" s="290" t="s">
        <v>2</v>
      </c>
      <c r="U13" s="290" t="s">
        <v>3</v>
      </c>
      <c r="V13" s="290" t="s">
        <v>4</v>
      </c>
      <c r="W13" s="290" t="s">
        <v>5</v>
      </c>
      <c r="X13" s="290" t="s">
        <v>6</v>
      </c>
    </row>
    <row r="14" spans="1:26">
      <c r="A14" s="468" t="s">
        <v>398</v>
      </c>
      <c r="B14" s="273" t="s">
        <v>484</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69"/>
      <c r="B15" s="273" t="s">
        <v>485</v>
      </c>
      <c r="C15" s="288">
        <v>0.25</v>
      </c>
      <c r="D15" s="10">
        <f t="shared" si="3"/>
        <v>0</v>
      </c>
      <c r="E15" s="274">
        <v>26</v>
      </c>
      <c r="F15" s="10">
        <f t="shared" ref="F15:F40" si="4">D15*E15</f>
        <v>0</v>
      </c>
      <c r="G15" s="289">
        <v>0.05</v>
      </c>
      <c r="H15" s="10">
        <f>(F15-F15*G15)</f>
        <v>0</v>
      </c>
    </row>
    <row r="16" spans="1:26">
      <c r="A16" s="469"/>
      <c r="B16" s="273" t="s">
        <v>486</v>
      </c>
      <c r="C16" s="288">
        <v>0</v>
      </c>
      <c r="D16" s="10">
        <f t="shared" si="3"/>
        <v>0</v>
      </c>
      <c r="E16" s="274">
        <v>0</v>
      </c>
      <c r="F16" s="10">
        <f t="shared" si="4"/>
        <v>0</v>
      </c>
      <c r="G16" s="289">
        <v>0</v>
      </c>
      <c r="H16" s="10">
        <f t="shared" ref="H16:H40" si="5">(F16-F16*G16)</f>
        <v>0</v>
      </c>
    </row>
    <row r="17" spans="1:8">
      <c r="A17" s="469"/>
      <c r="B17" s="273" t="s">
        <v>487</v>
      </c>
      <c r="C17" s="288">
        <v>0.25</v>
      </c>
      <c r="D17" s="10">
        <f t="shared" si="3"/>
        <v>0</v>
      </c>
      <c r="E17" s="274">
        <v>7.5</v>
      </c>
      <c r="F17" s="10">
        <f t="shared" si="4"/>
        <v>0</v>
      </c>
      <c r="G17" s="289">
        <v>0.02</v>
      </c>
      <c r="H17" s="10">
        <f t="shared" si="5"/>
        <v>0</v>
      </c>
    </row>
    <row r="18" spans="1:8">
      <c r="A18" s="469"/>
      <c r="B18" s="273" t="s">
        <v>489</v>
      </c>
      <c r="C18" s="288">
        <v>0.25</v>
      </c>
      <c r="D18" s="10">
        <f t="shared" si="3"/>
        <v>0</v>
      </c>
      <c r="E18" s="274">
        <v>2</v>
      </c>
      <c r="F18" s="10">
        <f t="shared" si="4"/>
        <v>0</v>
      </c>
      <c r="G18" s="289">
        <v>0</v>
      </c>
      <c r="H18" s="10">
        <f t="shared" si="5"/>
        <v>0</v>
      </c>
    </row>
    <row r="19" spans="1:8">
      <c r="A19" s="469"/>
      <c r="B19" s="273"/>
      <c r="C19" s="288">
        <v>0</v>
      </c>
      <c r="D19" s="10">
        <f t="shared" si="3"/>
        <v>0</v>
      </c>
      <c r="E19" s="274">
        <v>0</v>
      </c>
      <c r="F19" s="10">
        <f t="shared" si="4"/>
        <v>0</v>
      </c>
      <c r="G19" s="289">
        <v>0.1</v>
      </c>
      <c r="H19" s="10">
        <f t="shared" si="5"/>
        <v>0</v>
      </c>
    </row>
    <row r="20" spans="1:8">
      <c r="A20" s="469"/>
      <c r="B20" s="273"/>
      <c r="C20" s="288">
        <v>0</v>
      </c>
      <c r="D20" s="10">
        <f t="shared" si="3"/>
        <v>0</v>
      </c>
      <c r="E20" s="274">
        <v>0</v>
      </c>
      <c r="F20" s="10">
        <f t="shared" si="4"/>
        <v>0</v>
      </c>
      <c r="G20" s="289">
        <v>0.02</v>
      </c>
      <c r="H20" s="10">
        <f t="shared" si="5"/>
        <v>0</v>
      </c>
    </row>
    <row r="21" spans="1:8">
      <c r="A21" s="469"/>
      <c r="B21" s="273"/>
      <c r="C21" s="288">
        <v>0</v>
      </c>
      <c r="D21" s="10">
        <f t="shared" si="3"/>
        <v>0</v>
      </c>
      <c r="E21" s="274"/>
      <c r="F21" s="10">
        <f t="shared" si="4"/>
        <v>0</v>
      </c>
      <c r="G21" s="289">
        <v>0</v>
      </c>
      <c r="H21" s="10">
        <f t="shared" si="5"/>
        <v>0</v>
      </c>
    </row>
    <row r="22" spans="1:8">
      <c r="A22" s="470"/>
      <c r="B22" s="273"/>
      <c r="C22" s="288">
        <v>0</v>
      </c>
      <c r="D22" s="10">
        <f t="shared" si="3"/>
        <v>0</v>
      </c>
      <c r="E22" s="274"/>
      <c r="F22" s="10">
        <f t="shared" si="4"/>
        <v>0</v>
      </c>
      <c r="G22" s="289">
        <v>0</v>
      </c>
      <c r="H22" s="10">
        <f t="shared" si="5"/>
        <v>0</v>
      </c>
    </row>
    <row r="23" spans="1:8">
      <c r="A23" s="319" t="s">
        <v>502</v>
      </c>
      <c r="B23" s="313"/>
      <c r="C23" s="314">
        <f>B9*B23</f>
        <v>0</v>
      </c>
      <c r="D23" s="10"/>
      <c r="E23" s="274"/>
      <c r="F23" s="10"/>
      <c r="G23" s="289"/>
      <c r="H23" s="10"/>
    </row>
    <row r="24" spans="1:8">
      <c r="A24" s="468" t="s">
        <v>400</v>
      </c>
      <c r="B24" s="273" t="s">
        <v>484</v>
      </c>
      <c r="C24" s="288">
        <v>0</v>
      </c>
      <c r="D24" s="10">
        <f>C$23*C24</f>
        <v>0</v>
      </c>
      <c r="E24" s="274">
        <v>1</v>
      </c>
      <c r="F24" s="10">
        <f t="shared" si="4"/>
        <v>0</v>
      </c>
      <c r="G24" s="289">
        <v>0.1</v>
      </c>
      <c r="H24" s="10">
        <f t="shared" si="5"/>
        <v>0</v>
      </c>
    </row>
    <row r="25" spans="1:8">
      <c r="A25" s="469"/>
      <c r="B25" s="273" t="s">
        <v>485</v>
      </c>
      <c r="C25" s="288">
        <v>0</v>
      </c>
      <c r="D25" s="10">
        <f>C$23*C25</f>
        <v>0</v>
      </c>
      <c r="E25" s="274">
        <v>1</v>
      </c>
      <c r="F25" s="10">
        <f t="shared" si="4"/>
        <v>0</v>
      </c>
      <c r="G25" s="289">
        <v>0.1</v>
      </c>
      <c r="H25" s="10">
        <f t="shared" si="5"/>
        <v>0</v>
      </c>
    </row>
    <row r="26" spans="1:8">
      <c r="A26" s="469"/>
      <c r="B26" s="273" t="s">
        <v>486</v>
      </c>
      <c r="C26" s="288">
        <v>0</v>
      </c>
      <c r="D26" s="10">
        <f>C$23*C26</f>
        <v>0</v>
      </c>
      <c r="E26" s="274">
        <v>1</v>
      </c>
      <c r="F26" s="10">
        <f t="shared" si="4"/>
        <v>0</v>
      </c>
      <c r="G26" s="289">
        <v>0.05</v>
      </c>
      <c r="H26" s="10">
        <f t="shared" si="5"/>
        <v>0</v>
      </c>
    </row>
    <row r="27" spans="1:8">
      <c r="A27" s="469"/>
      <c r="B27" s="273" t="s">
        <v>487</v>
      </c>
      <c r="C27" s="288">
        <v>0</v>
      </c>
      <c r="D27" s="10">
        <f t="shared" ref="D27:D31" si="6">C$23*C27</f>
        <v>0</v>
      </c>
      <c r="E27" s="274">
        <v>2</v>
      </c>
      <c r="F27" s="10">
        <f t="shared" si="4"/>
        <v>0</v>
      </c>
      <c r="G27" s="289">
        <v>0</v>
      </c>
      <c r="H27" s="10">
        <f t="shared" si="5"/>
        <v>0</v>
      </c>
    </row>
    <row r="28" spans="1:8">
      <c r="A28" s="469"/>
      <c r="B28" s="273" t="s">
        <v>488</v>
      </c>
      <c r="C28" s="288">
        <v>0</v>
      </c>
      <c r="D28" s="10">
        <f t="shared" si="6"/>
        <v>0</v>
      </c>
      <c r="E28" s="274"/>
      <c r="F28" s="10">
        <f t="shared" si="4"/>
        <v>0</v>
      </c>
      <c r="G28" s="289">
        <v>0</v>
      </c>
      <c r="H28" s="10">
        <f t="shared" si="5"/>
        <v>0</v>
      </c>
    </row>
    <row r="29" spans="1:8">
      <c r="A29" s="469"/>
      <c r="B29" s="273"/>
      <c r="C29" s="288">
        <v>0</v>
      </c>
      <c r="D29" s="10">
        <f t="shared" si="6"/>
        <v>0</v>
      </c>
      <c r="E29" s="274"/>
      <c r="F29" s="10">
        <f t="shared" si="4"/>
        <v>0</v>
      </c>
      <c r="G29" s="289">
        <v>0</v>
      </c>
      <c r="H29" s="10">
        <f t="shared" si="5"/>
        <v>0</v>
      </c>
    </row>
    <row r="30" spans="1:8">
      <c r="A30" s="469"/>
      <c r="B30" s="273"/>
      <c r="C30" s="288">
        <v>0</v>
      </c>
      <c r="D30" s="10">
        <f t="shared" si="6"/>
        <v>0</v>
      </c>
      <c r="E30" s="274"/>
      <c r="F30" s="10">
        <f t="shared" si="4"/>
        <v>0</v>
      </c>
      <c r="G30" s="289">
        <v>0</v>
      </c>
      <c r="H30" s="10">
        <f t="shared" si="5"/>
        <v>0</v>
      </c>
    </row>
    <row r="31" spans="1:8">
      <c r="A31" s="470"/>
      <c r="B31" s="273"/>
      <c r="C31" s="288">
        <v>0</v>
      </c>
      <c r="D31" s="10">
        <f t="shared" si="6"/>
        <v>0</v>
      </c>
      <c r="E31" s="274"/>
      <c r="F31" s="10">
        <f t="shared" si="4"/>
        <v>0</v>
      </c>
      <c r="G31" s="289">
        <v>0</v>
      </c>
      <c r="H31" s="10">
        <f t="shared" si="5"/>
        <v>0</v>
      </c>
    </row>
    <row r="32" spans="1:8">
      <c r="A32" s="319" t="s">
        <v>503</v>
      </c>
      <c r="B32" s="313"/>
      <c r="C32" s="273">
        <f>B9*B32</f>
        <v>0</v>
      </c>
      <c r="D32" s="10"/>
      <c r="E32" s="274"/>
      <c r="F32" s="10"/>
      <c r="G32" s="289"/>
      <c r="H32" s="10"/>
    </row>
    <row r="33" spans="1:8">
      <c r="A33" s="316" t="s">
        <v>466</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4" t="s">
        <v>504</v>
      </c>
      <c r="B37" s="273" t="s">
        <v>490</v>
      </c>
      <c r="C37" s="288">
        <v>0</v>
      </c>
      <c r="D37" s="10">
        <f t="shared" si="3"/>
        <v>0</v>
      </c>
      <c r="E37" s="274">
        <v>6</v>
      </c>
      <c r="F37" s="10">
        <f t="shared" si="4"/>
        <v>0</v>
      </c>
      <c r="G37" s="289">
        <v>0.05</v>
      </c>
      <c r="H37" s="10">
        <f t="shared" si="5"/>
        <v>0</v>
      </c>
    </row>
    <row r="38" spans="1:8">
      <c r="A38" s="484"/>
      <c r="B38" s="273" t="s">
        <v>491</v>
      </c>
      <c r="C38" s="288">
        <v>0</v>
      </c>
      <c r="D38" s="10">
        <f t="shared" si="3"/>
        <v>0</v>
      </c>
      <c r="E38" s="274"/>
      <c r="F38" s="10">
        <f t="shared" si="4"/>
        <v>0</v>
      </c>
      <c r="G38" s="289">
        <v>0</v>
      </c>
      <c r="H38" s="10">
        <f t="shared" si="5"/>
        <v>0</v>
      </c>
    </row>
    <row r="39" spans="1:8">
      <c r="A39" s="484"/>
      <c r="B39" s="273" t="s">
        <v>492</v>
      </c>
      <c r="C39" s="288">
        <v>0</v>
      </c>
      <c r="D39" s="10">
        <f t="shared" si="3"/>
        <v>0</v>
      </c>
      <c r="E39" s="274"/>
      <c r="F39" s="10">
        <f t="shared" si="4"/>
        <v>0</v>
      </c>
      <c r="G39" s="289">
        <v>0</v>
      </c>
      <c r="H39" s="10">
        <f t="shared" si="5"/>
        <v>0</v>
      </c>
    </row>
    <row r="40" spans="1:8">
      <c r="A40" s="484"/>
      <c r="B40" s="273" t="s">
        <v>493</v>
      </c>
      <c r="C40" s="288">
        <v>0</v>
      </c>
      <c r="D40" s="10">
        <f t="shared" si="3"/>
        <v>0</v>
      </c>
      <c r="E40" s="274"/>
      <c r="F40" s="10">
        <f t="shared" si="4"/>
        <v>0</v>
      </c>
      <c r="G40" s="289">
        <v>0</v>
      </c>
      <c r="H40" s="10">
        <f t="shared" si="5"/>
        <v>0</v>
      </c>
    </row>
    <row r="41" spans="1:8">
      <c r="A41" s="467" t="s">
        <v>403</v>
      </c>
      <c r="B41" s="467"/>
      <c r="C41" s="467"/>
      <c r="D41" s="467"/>
      <c r="E41" s="467"/>
      <c r="F41" s="467"/>
      <c r="G41" s="467"/>
      <c r="H41" s="467"/>
    </row>
    <row r="43" spans="1:8" ht="18.75">
      <c r="A43" s="471" t="s">
        <v>567</v>
      </c>
      <c r="B43" s="472"/>
      <c r="C43" s="472"/>
      <c r="D43" s="472"/>
      <c r="E43" s="472"/>
      <c r="F43" s="472"/>
      <c r="G43" s="472"/>
      <c r="H43" s="473"/>
    </row>
    <row r="44" spans="1:8">
      <c r="A44" s="474"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5"/>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6" t="s">
        <v>568</v>
      </c>
      <c r="B71" s="477"/>
      <c r="C71" s="477"/>
      <c r="D71" s="477"/>
      <c r="E71" s="477"/>
      <c r="F71" s="477"/>
      <c r="G71" s="477"/>
      <c r="H71" s="478"/>
    </row>
    <row r="72" spans="1:8">
      <c r="A72" s="479"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80"/>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6" t="s">
        <v>569</v>
      </c>
      <c r="B99" s="477"/>
      <c r="C99" s="477"/>
      <c r="D99" s="477"/>
      <c r="E99" s="477"/>
      <c r="F99" s="477"/>
      <c r="G99" s="477"/>
      <c r="H99" s="478"/>
    </row>
    <row r="100" spans="1:9">
      <c r="A100" s="465"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6"/>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542</v>
      </c>
      <c r="C129" s="302"/>
      <c r="D129" s="302"/>
      <c r="E129" s="302"/>
      <c r="F129" s="302"/>
      <c r="G129" s="302"/>
      <c r="H129" s="302"/>
      <c r="I129" s="302"/>
    </row>
    <row r="130" spans="1:9">
      <c r="A130">
        <v>1</v>
      </c>
      <c r="B130" t="s">
        <v>543</v>
      </c>
    </row>
    <row r="131" spans="1:9">
      <c r="A131">
        <v>2</v>
      </c>
      <c r="B131" t="s">
        <v>544</v>
      </c>
    </row>
    <row r="132" spans="1:9">
      <c r="A132">
        <v>3</v>
      </c>
      <c r="B132" t="s">
        <v>545</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3" t="s">
        <v>570</v>
      </c>
      <c r="B2" s="413"/>
      <c r="C2" s="413"/>
      <c r="D2" s="413"/>
      <c r="E2" s="413"/>
      <c r="F2" s="413"/>
      <c r="G2" s="413"/>
      <c r="H2" s="413"/>
    </row>
    <row r="3" spans="1:8" ht="18.75">
      <c r="A3" s="413" t="s">
        <v>571</v>
      </c>
      <c r="B3" s="413"/>
      <c r="C3" s="413"/>
      <c r="D3" s="413"/>
      <c r="E3" s="413"/>
      <c r="F3" s="413"/>
      <c r="G3" s="413"/>
      <c r="H3" s="413"/>
    </row>
    <row r="4" spans="1:8">
      <c r="B4" s="93"/>
      <c r="C4" s="93"/>
      <c r="D4" s="93"/>
      <c r="E4" s="93"/>
      <c r="F4" s="414" t="s">
        <v>478</v>
      </c>
      <c r="G4" s="414"/>
      <c r="H4" s="414"/>
    </row>
    <row r="5" spans="1:8">
      <c r="A5" s="93" t="s">
        <v>159</v>
      </c>
      <c r="B5" s="240">
        <v>100</v>
      </c>
      <c r="C5" s="93" t="s">
        <v>454</v>
      </c>
      <c r="D5" s="93"/>
      <c r="E5" s="93"/>
      <c r="F5" s="277" t="s">
        <v>479</v>
      </c>
      <c r="G5" s="277" t="s">
        <v>480</v>
      </c>
      <c r="H5" s="93"/>
    </row>
    <row r="6" spans="1:8">
      <c r="A6" s="93" t="s">
        <v>160</v>
      </c>
      <c r="B6" s="267">
        <v>8</v>
      </c>
      <c r="C6" s="93"/>
      <c r="D6" s="93"/>
      <c r="E6" s="93"/>
      <c r="F6" s="10" t="s">
        <v>476</v>
      </c>
      <c r="G6" s="310">
        <v>0.03</v>
      </c>
      <c r="H6" s="93"/>
    </row>
    <row r="7" spans="1:8">
      <c r="A7" s="93"/>
      <c r="B7" s="93"/>
      <c r="C7" s="93"/>
      <c r="D7" s="93"/>
      <c r="E7" s="93"/>
      <c r="F7" s="10" t="s">
        <v>477</v>
      </c>
      <c r="G7" s="310">
        <v>0.05</v>
      </c>
      <c r="H7" s="93"/>
    </row>
    <row r="8" spans="1:8">
      <c r="A8" s="93" t="s">
        <v>517</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453</v>
      </c>
      <c r="B10" s="286">
        <f>B33/($B$5*$B$6)</f>
        <v>9.0700312499999978</v>
      </c>
      <c r="C10" s="286">
        <f t="shared" ref="C10:H10" si="0">C33/($B$5*$B$6)</f>
        <v>10.581703124999997</v>
      </c>
      <c r="D10" s="286">
        <f t="shared" si="0"/>
        <v>12.093375000000002</v>
      </c>
      <c r="E10" s="286">
        <f t="shared" si="0"/>
        <v>13.605046874999996</v>
      </c>
      <c r="F10" s="286">
        <f t="shared" si="0"/>
        <v>15.11671875</v>
      </c>
      <c r="G10" s="286">
        <f t="shared" si="0"/>
        <v>16.628390624999994</v>
      </c>
      <c r="H10" s="286">
        <f t="shared" si="0"/>
        <v>18.140062499999996</v>
      </c>
    </row>
    <row r="11" spans="1:8">
      <c r="A11" s="200" t="str">
        <f>'10.Grain Production details'!A42</f>
        <v>Soybean</v>
      </c>
      <c r="B11" s="200">
        <f>'10.Grain Production details'!B42</f>
        <v>1871.1</v>
      </c>
      <c r="C11" s="200">
        <f>'10.Grain Production details'!C42</f>
        <v>2182.9499999999998</v>
      </c>
      <c r="D11" s="200">
        <f>'10.Grain Production details'!D42</f>
        <v>2494.7999999999997</v>
      </c>
      <c r="E11" s="200">
        <f>'10.Grain Production details'!E42</f>
        <v>2806.6499999999996</v>
      </c>
      <c r="F11" s="200">
        <f>'10.Grain Production details'!F42</f>
        <v>3118.4999999999995</v>
      </c>
      <c r="G11" s="200">
        <f>'10.Grain Production details'!G42</f>
        <v>3430.3499999999995</v>
      </c>
      <c r="H11" s="200">
        <f>'10.Grain Production details'!H42</f>
        <v>3742.2</v>
      </c>
    </row>
    <row r="12" spans="1:8">
      <c r="A12" s="200" t="str">
        <f>'10.Grain Production details'!A43</f>
        <v>Tur</v>
      </c>
      <c r="B12" s="200">
        <f>'10.Grain Production details'!B43</f>
        <v>199.5</v>
      </c>
      <c r="C12" s="200">
        <f>'10.Grain Production details'!C43</f>
        <v>232.74999999999997</v>
      </c>
      <c r="D12" s="200">
        <f>'10.Grain Production details'!D43</f>
        <v>266</v>
      </c>
      <c r="E12" s="200">
        <f>'10.Grain Production details'!E43</f>
        <v>299.24999999999994</v>
      </c>
      <c r="F12" s="200">
        <f>'10.Grain Production details'!F43</f>
        <v>332.49999999999989</v>
      </c>
      <c r="G12" s="200">
        <f>'10.Grain Production details'!G43</f>
        <v>365.74999999999989</v>
      </c>
      <c r="H12" s="200">
        <f>'10.Grain Production details'!H43</f>
        <v>398.99999999999994</v>
      </c>
    </row>
    <row r="13" spans="1:8">
      <c r="A13" s="200" t="str">
        <f>'10.Grain Production details'!A44</f>
        <v>Turmeric</v>
      </c>
      <c r="B13" s="200">
        <f>'10.Grain Production details'!B44</f>
        <v>2182.9499999999998</v>
      </c>
      <c r="C13" s="200">
        <f>'10.Grain Production details'!C44</f>
        <v>2546.7749999999996</v>
      </c>
      <c r="D13" s="200">
        <f>'10.Grain Production details'!D44</f>
        <v>2910.5999999999995</v>
      </c>
      <c r="E13" s="200">
        <f>'10.Grain Production details'!E44</f>
        <v>3274.4249999999993</v>
      </c>
      <c r="F13" s="200">
        <f>'10.Grain Production details'!F44</f>
        <v>3638.2499999999991</v>
      </c>
      <c r="G13" s="200">
        <f>'10.Grain Production details'!G44</f>
        <v>4002.0749999999989</v>
      </c>
      <c r="H13" s="200">
        <f>'10.Grain Production details'!H44</f>
        <v>4365.8999999999996</v>
      </c>
    </row>
    <row r="14" spans="1:8">
      <c r="A14" s="200" t="str">
        <f>'10.Grain Production details'!A45</f>
        <v>Moong</v>
      </c>
      <c r="B14" s="200">
        <f>'10.Grain Production details'!B45</f>
        <v>145.53</v>
      </c>
      <c r="C14" s="200">
        <f>'10.Grain Production details'!C45</f>
        <v>169.785</v>
      </c>
      <c r="D14" s="200">
        <f>'10.Grain Production details'!D45</f>
        <v>194.04</v>
      </c>
      <c r="E14" s="200">
        <f>'10.Grain Production details'!E45</f>
        <v>218.29499999999999</v>
      </c>
      <c r="F14" s="200">
        <f>'10.Grain Production details'!F45</f>
        <v>242.54999999999998</v>
      </c>
      <c r="G14" s="200">
        <f>'10.Grain Production details'!G45</f>
        <v>266.80500000000001</v>
      </c>
      <c r="H14" s="200">
        <f>'10.Grain Production details'!H45</f>
        <v>291.06000000000006</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166.32</v>
      </c>
      <c r="C16" s="200">
        <f>'10.Grain Production details'!C47</f>
        <v>194.04</v>
      </c>
      <c r="D16" s="200">
        <f>'10.Grain Production details'!D47</f>
        <v>221.75999999999996</v>
      </c>
      <c r="E16" s="200">
        <f>'10.Grain Production details'!E47</f>
        <v>249.47999999999996</v>
      </c>
      <c r="F16" s="200">
        <f>'10.Grain Production details'!F47</f>
        <v>277.19999999999993</v>
      </c>
      <c r="G16" s="200">
        <f>'10.Grain Production details'!G47</f>
        <v>304.91999999999996</v>
      </c>
      <c r="H16" s="200">
        <f>'10.Grain Production details'!H47</f>
        <v>332.64</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203.7</v>
      </c>
      <c r="C18" s="200">
        <f>'10.Grain Production details'!C49</f>
        <v>237.64999999999998</v>
      </c>
      <c r="D18" s="200">
        <f>'10.Grain Production details'!D49</f>
        <v>271.59999999999997</v>
      </c>
      <c r="E18" s="200">
        <f>'10.Grain Production details'!E49</f>
        <v>305.54999999999995</v>
      </c>
      <c r="F18" s="200">
        <f>'10.Grain Production details'!F49</f>
        <v>339.49999999999994</v>
      </c>
      <c r="G18" s="200">
        <f>'10.Grain Production details'!G49</f>
        <v>373.44999999999993</v>
      </c>
      <c r="H18" s="200">
        <f>'10.Grain Production details'!H49</f>
        <v>407.4</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538.65</v>
      </c>
      <c r="C20" s="200">
        <f>'10.Grain Production details'!C51</f>
        <v>628.42499999999995</v>
      </c>
      <c r="D20" s="200">
        <f>'10.Grain Production details'!D51</f>
        <v>718.19999999999993</v>
      </c>
      <c r="E20" s="200">
        <f>'10.Grain Production details'!E51</f>
        <v>807.97499999999991</v>
      </c>
      <c r="F20" s="200">
        <f>'10.Grain Production details'!F51</f>
        <v>897.74999999999989</v>
      </c>
      <c r="G20" s="200">
        <f>'10.Grain Production details'!G51</f>
        <v>987.52499999999986</v>
      </c>
      <c r="H20" s="200">
        <f>'10.Grain Production details'!H51</f>
        <v>1077.3</v>
      </c>
    </row>
    <row r="21" spans="1:8">
      <c r="A21" s="200" t="str">
        <f>'10.Grain Production details'!A52</f>
        <v>Channa</v>
      </c>
      <c r="B21" s="200">
        <f>'10.Grain Production details'!B52</f>
        <v>1675.8</v>
      </c>
      <c r="C21" s="200">
        <f>'10.Grain Production details'!C52</f>
        <v>1955.1</v>
      </c>
      <c r="D21" s="200">
        <f>'10.Grain Production details'!D52</f>
        <v>2234.3999999999996</v>
      </c>
      <c r="E21" s="200">
        <f>'10.Grain Production details'!E52</f>
        <v>2513.6999999999998</v>
      </c>
      <c r="F21" s="200">
        <f>'10.Grain Production details'!F52</f>
        <v>2792.9999999999995</v>
      </c>
      <c r="G21" s="200">
        <f>'10.Grain Production details'!G52</f>
        <v>3072.2999999999997</v>
      </c>
      <c r="H21" s="200">
        <f>'10.Grain Production details'!H52</f>
        <v>3351.6</v>
      </c>
    </row>
    <row r="22" spans="1:8">
      <c r="A22" s="200" t="str">
        <f>'10.Grain Production details'!A53</f>
        <v>Jawar</v>
      </c>
      <c r="B22" s="200">
        <f>'10.Grain Production details'!B53</f>
        <v>195.55199999999999</v>
      </c>
      <c r="C22" s="200">
        <f>'10.Grain Production details'!C53</f>
        <v>228.14400000000001</v>
      </c>
      <c r="D22" s="200">
        <f>'10.Grain Production details'!D53</f>
        <v>260.73599999999999</v>
      </c>
      <c r="E22" s="200">
        <f>'10.Grain Production details'!E53</f>
        <v>293.32799999999997</v>
      </c>
      <c r="F22" s="200">
        <f>'10.Grain Production details'!F53</f>
        <v>325.91999999999996</v>
      </c>
      <c r="G22" s="200">
        <f>'10.Grain Production details'!G53</f>
        <v>358.512</v>
      </c>
      <c r="H22" s="200">
        <f>'10.Grain Production details'!H53</f>
        <v>391.10399999999998</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62.37</v>
      </c>
      <c r="C25" s="200">
        <f>'10.Grain Production details'!C56</f>
        <v>72.765000000000001</v>
      </c>
      <c r="D25" s="200">
        <f>'10.Grain Production details'!D56</f>
        <v>83.16</v>
      </c>
      <c r="E25" s="200">
        <f>'10.Grain Production details'!E56</f>
        <v>93.554999999999993</v>
      </c>
      <c r="F25" s="200">
        <f>'10.Grain Production details'!F56</f>
        <v>103.94999999999999</v>
      </c>
      <c r="G25" s="200">
        <f>'10.Grain Production details'!G56</f>
        <v>114.34499999999998</v>
      </c>
      <c r="H25" s="200">
        <f>'10.Grain Production details'!H56</f>
        <v>124.74</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8.3159999999999989</v>
      </c>
      <c r="C28" s="200">
        <f>'10.Grain Production details'!C59</f>
        <v>9.7019999999999982</v>
      </c>
      <c r="D28" s="200">
        <f>'10.Grain Production details'!D59</f>
        <v>11.087999999999997</v>
      </c>
      <c r="E28" s="200">
        <f>'10.Grain Production details'!E59</f>
        <v>12.473999999999997</v>
      </c>
      <c r="F28" s="200">
        <f>'10.Grain Production details'!F59</f>
        <v>13.859999999999996</v>
      </c>
      <c r="G28" s="200">
        <f>'10.Grain Production details'!G59</f>
        <v>15.245999999999995</v>
      </c>
      <c r="H28" s="200">
        <f>'10.Grain Production details'!H59</f>
        <v>16.631999999999998</v>
      </c>
    </row>
    <row r="29" spans="1:8">
      <c r="A29" s="200" t="str">
        <f>'10.Grain Production details'!A60</f>
        <v>Paddy</v>
      </c>
      <c r="B29" s="200">
        <f>'10.Grain Production details'!B60</f>
        <v>6.2369999999999992</v>
      </c>
      <c r="C29" s="200">
        <f>'10.Grain Production details'!C60</f>
        <v>7.2764999999999995</v>
      </c>
      <c r="D29" s="200">
        <f>'10.Grain Production details'!D60</f>
        <v>8.3159999999999989</v>
      </c>
      <c r="E29" s="200">
        <f>'10.Grain Production details'!E60</f>
        <v>9.3554999999999993</v>
      </c>
      <c r="F29" s="200">
        <f>'10.Grain Production details'!F60</f>
        <v>10.394999999999998</v>
      </c>
      <c r="G29" s="200">
        <f>'10.Grain Production details'!G60</f>
        <v>11.434499999999998</v>
      </c>
      <c r="H29" s="200">
        <f>'10.Grain Production details'!H60</f>
        <v>12.473999999999998</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514</v>
      </c>
      <c r="B33" s="200">
        <f t="shared" ref="B33:H33" si="1">SUM(B11:B32)</f>
        <v>7256.0249999999978</v>
      </c>
      <c r="C33" s="200">
        <f t="shared" si="1"/>
        <v>8465.3624999999975</v>
      </c>
      <c r="D33" s="200">
        <f t="shared" si="1"/>
        <v>9674.7000000000007</v>
      </c>
      <c r="E33" s="200">
        <f t="shared" si="1"/>
        <v>10884.037499999997</v>
      </c>
      <c r="F33" s="200">
        <f t="shared" si="1"/>
        <v>12093.375</v>
      </c>
      <c r="G33" s="200">
        <f t="shared" si="1"/>
        <v>13302.712499999996</v>
      </c>
      <c r="H33" s="200">
        <f t="shared" si="1"/>
        <v>14512.049999999996</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513</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515</v>
      </c>
      <c r="B62" s="287">
        <v>0.4</v>
      </c>
      <c r="C62" s="287">
        <v>0.4</v>
      </c>
      <c r="D62" s="287">
        <v>0.4</v>
      </c>
      <c r="E62" s="287">
        <v>0.4</v>
      </c>
      <c r="F62" s="287">
        <v>0.4</v>
      </c>
      <c r="G62" s="287">
        <v>0.4</v>
      </c>
      <c r="H62" s="287">
        <v>0.4</v>
      </c>
    </row>
    <row r="63" spans="1:8">
      <c r="A63" s="268" t="s">
        <v>516</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2902.4099999999994</v>
      </c>
      <c r="C65" s="269">
        <f t="shared" si="4"/>
        <v>3386.1449999999991</v>
      </c>
      <c r="D65" s="269">
        <f t="shared" si="4"/>
        <v>3869.8800000000006</v>
      </c>
      <c r="E65" s="269">
        <f t="shared" si="4"/>
        <v>4353.6149999999989</v>
      </c>
      <c r="F65" s="269">
        <f t="shared" si="4"/>
        <v>4837.3500000000004</v>
      </c>
      <c r="G65" s="269">
        <f t="shared" si="4"/>
        <v>5321.0849999999991</v>
      </c>
      <c r="H65" s="269">
        <f t="shared" si="4"/>
        <v>5804.8199999999988</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1122.6599999999999</v>
      </c>
      <c r="C68" s="285">
        <f t="shared" ref="C68:C83" si="7">C11*$C$63</f>
        <v>1309.7699999999998</v>
      </c>
      <c r="D68" s="285">
        <f t="shared" ref="D68:D83" si="8">D11*$D$63</f>
        <v>1496.8799999999999</v>
      </c>
      <c r="E68" s="285">
        <f t="shared" ref="E68:E83" si="9">E11*$E$63</f>
        <v>1683.9899999999998</v>
      </c>
      <c r="F68" s="285">
        <f t="shared" ref="F68:F83" si="10">F11*$F$63</f>
        <v>1871.0999999999997</v>
      </c>
      <c r="G68" s="285">
        <f t="shared" ref="G68:G83" si="11">G11*$G$63</f>
        <v>2058.2099999999996</v>
      </c>
      <c r="H68" s="285">
        <f t="shared" ref="H68:H83" si="12">H11*$H$63</f>
        <v>2245.3199999999997</v>
      </c>
    </row>
    <row r="69" spans="1:8">
      <c r="A69" s="94" t="str">
        <f t="shared" si="5"/>
        <v>Tur</v>
      </c>
      <c r="B69" s="285">
        <f t="shared" si="6"/>
        <v>119.69999999999999</v>
      </c>
      <c r="C69" s="285">
        <f t="shared" si="7"/>
        <v>139.64999999999998</v>
      </c>
      <c r="D69" s="285">
        <f t="shared" si="8"/>
        <v>159.6</v>
      </c>
      <c r="E69" s="285">
        <f t="shared" si="9"/>
        <v>179.54999999999995</v>
      </c>
      <c r="F69" s="285">
        <f t="shared" si="10"/>
        <v>199.49999999999991</v>
      </c>
      <c r="G69" s="285">
        <f t="shared" si="11"/>
        <v>219.44999999999993</v>
      </c>
      <c r="H69" s="285">
        <f t="shared" si="12"/>
        <v>239.39999999999995</v>
      </c>
    </row>
    <row r="70" spans="1:8">
      <c r="A70" s="94" t="str">
        <f t="shared" si="5"/>
        <v>Turmeric</v>
      </c>
      <c r="B70" s="285">
        <f t="shared" si="6"/>
        <v>1309.7699999999998</v>
      </c>
      <c r="C70" s="285">
        <f t="shared" si="7"/>
        <v>1528.0649999999998</v>
      </c>
      <c r="D70" s="285">
        <f t="shared" si="8"/>
        <v>1746.3599999999997</v>
      </c>
      <c r="E70" s="285">
        <f t="shared" si="9"/>
        <v>1964.6549999999995</v>
      </c>
      <c r="F70" s="285">
        <f t="shared" si="10"/>
        <v>2182.9499999999994</v>
      </c>
      <c r="G70" s="285">
        <f t="shared" si="11"/>
        <v>2401.2449999999994</v>
      </c>
      <c r="H70" s="285">
        <f t="shared" si="12"/>
        <v>2619.5399999999995</v>
      </c>
    </row>
    <row r="71" spans="1:8">
      <c r="A71" s="94" t="str">
        <f t="shared" si="5"/>
        <v>Moong</v>
      </c>
      <c r="B71" s="285">
        <f t="shared" si="6"/>
        <v>87.317999999999998</v>
      </c>
      <c r="C71" s="285">
        <f t="shared" si="7"/>
        <v>101.871</v>
      </c>
      <c r="D71" s="285">
        <f t="shared" si="8"/>
        <v>116.42399999999999</v>
      </c>
      <c r="E71" s="285">
        <f t="shared" si="9"/>
        <v>130.97699999999998</v>
      </c>
      <c r="F71" s="285">
        <f t="shared" si="10"/>
        <v>145.52999999999997</v>
      </c>
      <c r="G71" s="285">
        <f t="shared" si="11"/>
        <v>160.083</v>
      </c>
      <c r="H71" s="285">
        <f t="shared" si="12"/>
        <v>174.63600000000002</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99.791999999999987</v>
      </c>
      <c r="C73" s="285">
        <f t="shared" si="7"/>
        <v>116.42399999999999</v>
      </c>
      <c r="D73" s="285">
        <f t="shared" si="8"/>
        <v>133.05599999999998</v>
      </c>
      <c r="E73" s="285">
        <f t="shared" si="9"/>
        <v>149.68799999999996</v>
      </c>
      <c r="F73" s="285">
        <f t="shared" si="10"/>
        <v>166.31999999999996</v>
      </c>
      <c r="G73" s="285">
        <f t="shared" si="11"/>
        <v>182.95199999999997</v>
      </c>
      <c r="H73" s="285">
        <f t="shared" si="12"/>
        <v>199.58399999999997</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122.21999999999998</v>
      </c>
      <c r="C75" s="285">
        <f t="shared" si="7"/>
        <v>142.58999999999997</v>
      </c>
      <c r="D75" s="285">
        <f t="shared" si="8"/>
        <v>162.95999999999998</v>
      </c>
      <c r="E75" s="285">
        <f t="shared" si="9"/>
        <v>183.32999999999996</v>
      </c>
      <c r="F75" s="285">
        <f t="shared" si="10"/>
        <v>203.69999999999996</v>
      </c>
      <c r="G75" s="285">
        <f t="shared" si="11"/>
        <v>224.06999999999996</v>
      </c>
      <c r="H75" s="285">
        <f t="shared" si="12"/>
        <v>244.43999999999997</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323.19</v>
      </c>
      <c r="C77" s="285">
        <f t="shared" si="7"/>
        <v>377.05499999999995</v>
      </c>
      <c r="D77" s="285">
        <f t="shared" si="8"/>
        <v>430.91999999999996</v>
      </c>
      <c r="E77" s="285">
        <f t="shared" si="9"/>
        <v>484.78499999999991</v>
      </c>
      <c r="F77" s="285">
        <f t="shared" si="10"/>
        <v>538.64999999999986</v>
      </c>
      <c r="G77" s="285">
        <f t="shared" si="11"/>
        <v>592.51499999999987</v>
      </c>
      <c r="H77" s="285">
        <f t="shared" si="12"/>
        <v>646.38</v>
      </c>
    </row>
    <row r="78" spans="1:8">
      <c r="A78" s="94" t="str">
        <f t="shared" si="5"/>
        <v>Channa</v>
      </c>
      <c r="B78" s="285">
        <f t="shared" si="6"/>
        <v>1005.4799999999999</v>
      </c>
      <c r="C78" s="285">
        <f t="shared" si="7"/>
        <v>1173.06</v>
      </c>
      <c r="D78" s="285">
        <f t="shared" si="8"/>
        <v>1340.6399999999996</v>
      </c>
      <c r="E78" s="285">
        <f t="shared" si="9"/>
        <v>1508.2199999999998</v>
      </c>
      <c r="F78" s="285">
        <f t="shared" si="10"/>
        <v>1675.7999999999997</v>
      </c>
      <c r="G78" s="285">
        <f t="shared" si="11"/>
        <v>1843.3799999999997</v>
      </c>
      <c r="H78" s="285">
        <f t="shared" si="12"/>
        <v>2010.9599999999998</v>
      </c>
    </row>
    <row r="79" spans="1:8">
      <c r="A79" s="94" t="str">
        <f t="shared" si="5"/>
        <v>Jawar</v>
      </c>
      <c r="B79" s="285">
        <f t="shared" si="6"/>
        <v>117.3312</v>
      </c>
      <c r="C79" s="285">
        <f t="shared" si="7"/>
        <v>136.88640000000001</v>
      </c>
      <c r="D79" s="285">
        <f t="shared" si="8"/>
        <v>156.44159999999999</v>
      </c>
      <c r="E79" s="285">
        <f t="shared" si="9"/>
        <v>175.99679999999998</v>
      </c>
      <c r="F79" s="285">
        <f t="shared" si="10"/>
        <v>195.55199999999996</v>
      </c>
      <c r="G79" s="285">
        <f t="shared" si="11"/>
        <v>215.10720000000001</v>
      </c>
      <c r="H79" s="285">
        <f t="shared" si="12"/>
        <v>234.66239999999999</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37.421999999999997</v>
      </c>
      <c r="C82" s="285">
        <f t="shared" si="7"/>
        <v>43.658999999999999</v>
      </c>
      <c r="D82" s="285">
        <f t="shared" si="8"/>
        <v>49.895999999999994</v>
      </c>
      <c r="E82" s="285">
        <f t="shared" si="9"/>
        <v>56.132999999999996</v>
      </c>
      <c r="F82" s="285">
        <f t="shared" si="10"/>
        <v>62.36999999999999</v>
      </c>
      <c r="G82" s="285">
        <f t="shared" si="11"/>
        <v>68.606999999999985</v>
      </c>
      <c r="H82" s="285">
        <f t="shared" si="12"/>
        <v>74.843999999999994</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4.9895999999999994</v>
      </c>
      <c r="C85" s="285">
        <f t="shared" si="13"/>
        <v>5.8211999999999984</v>
      </c>
      <c r="D85" s="285">
        <f t="shared" si="13"/>
        <v>6.6527999999999983</v>
      </c>
      <c r="E85" s="285">
        <f t="shared" si="13"/>
        <v>7.4843999999999973</v>
      </c>
      <c r="F85" s="285">
        <f t="shared" si="13"/>
        <v>8.3159999999999972</v>
      </c>
      <c r="G85" s="285">
        <f t="shared" si="13"/>
        <v>9.1475999999999971</v>
      </c>
      <c r="H85" s="285">
        <f t="shared" si="13"/>
        <v>9.9791999999999987</v>
      </c>
    </row>
    <row r="86" spans="1:12">
      <c r="A86" s="94" t="str">
        <f t="shared" si="5"/>
        <v>Paddy</v>
      </c>
      <c r="B86" s="285">
        <f t="shared" si="6"/>
        <v>3.7421999999999995</v>
      </c>
      <c r="C86" s="285">
        <f t="shared" si="13"/>
        <v>4.3658999999999999</v>
      </c>
      <c r="D86" s="285">
        <f t="shared" si="13"/>
        <v>4.9895999999999994</v>
      </c>
      <c r="E86" s="285">
        <f t="shared" si="13"/>
        <v>5.6132999999999997</v>
      </c>
      <c r="F86" s="285">
        <f t="shared" si="13"/>
        <v>6.2369999999999983</v>
      </c>
      <c r="G86" s="285">
        <f t="shared" si="13"/>
        <v>6.8606999999999987</v>
      </c>
      <c r="H86" s="285">
        <f t="shared" si="13"/>
        <v>7.4843999999999991</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1088.9802</v>
      </c>
      <c r="C120" s="286">
        <f t="shared" si="20"/>
        <v>1270.4768999999997</v>
      </c>
      <c r="D120" s="286">
        <f t="shared" si="20"/>
        <v>1451.9735999999998</v>
      </c>
      <c r="E120" s="286">
        <f t="shared" si="20"/>
        <v>1633.4702999999997</v>
      </c>
      <c r="F120" s="286">
        <f t="shared" si="20"/>
        <v>1814.9669999999996</v>
      </c>
      <c r="G120" s="286">
        <f t="shared" si="20"/>
        <v>1996.4636999999996</v>
      </c>
      <c r="H120" s="286">
        <f t="shared" si="20"/>
        <v>2177.9603999999999</v>
      </c>
    </row>
    <row r="121" spans="1:12">
      <c r="A121" s="98" t="str">
        <f t="shared" si="19"/>
        <v>Tur</v>
      </c>
      <c r="B121" s="286">
        <f t="shared" si="20"/>
        <v>116.10899999999999</v>
      </c>
      <c r="C121" s="286">
        <f t="shared" si="20"/>
        <v>135.46049999999997</v>
      </c>
      <c r="D121" s="286">
        <f t="shared" si="20"/>
        <v>154.81199999999998</v>
      </c>
      <c r="E121" s="286">
        <f t="shared" si="20"/>
        <v>174.16349999999994</v>
      </c>
      <c r="F121" s="286">
        <f t="shared" si="20"/>
        <v>193.51499999999993</v>
      </c>
      <c r="G121" s="286">
        <f t="shared" si="20"/>
        <v>212.86649999999995</v>
      </c>
      <c r="H121" s="286">
        <f t="shared" si="20"/>
        <v>232.21799999999996</v>
      </c>
    </row>
    <row r="122" spans="1:12">
      <c r="A122" s="98" t="str">
        <f t="shared" si="19"/>
        <v>Turmeric</v>
      </c>
      <c r="B122" s="286">
        <f t="shared" si="20"/>
        <v>1270.4768999999997</v>
      </c>
      <c r="C122" s="286">
        <f t="shared" si="20"/>
        <v>1482.2230499999998</v>
      </c>
      <c r="D122" s="286">
        <f t="shared" si="20"/>
        <v>1693.9691999999998</v>
      </c>
      <c r="E122" s="286">
        <f t="shared" si="20"/>
        <v>1905.7153499999995</v>
      </c>
      <c r="F122" s="286">
        <f t="shared" si="20"/>
        <v>2117.4614999999994</v>
      </c>
      <c r="G122" s="286">
        <f t="shared" si="20"/>
        <v>2329.2076499999994</v>
      </c>
      <c r="H122" s="286">
        <f t="shared" si="20"/>
        <v>2540.9537999999993</v>
      </c>
    </row>
    <row r="123" spans="1:12">
      <c r="A123" s="98" t="str">
        <f t="shared" si="19"/>
        <v>Moong</v>
      </c>
      <c r="B123" s="286">
        <f t="shared" si="20"/>
        <v>84.698459999999997</v>
      </c>
      <c r="C123" s="286">
        <f t="shared" si="20"/>
        <v>98.814869999999999</v>
      </c>
      <c r="D123" s="286">
        <f t="shared" si="20"/>
        <v>112.93127999999999</v>
      </c>
      <c r="E123" s="286">
        <f t="shared" si="20"/>
        <v>127.04768999999997</v>
      </c>
      <c r="F123" s="286">
        <f t="shared" si="20"/>
        <v>141.16409999999996</v>
      </c>
      <c r="G123" s="286">
        <f t="shared" si="20"/>
        <v>155.28050999999999</v>
      </c>
      <c r="H123" s="286">
        <f t="shared" si="20"/>
        <v>169.39692000000002</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96.798239999999993</v>
      </c>
      <c r="C125" s="286">
        <f t="shared" si="20"/>
        <v>112.93127999999999</v>
      </c>
      <c r="D125" s="286">
        <f t="shared" si="20"/>
        <v>129.06431999999998</v>
      </c>
      <c r="E125" s="286">
        <f t="shared" si="20"/>
        <v>145.19735999999997</v>
      </c>
      <c r="F125" s="286">
        <f t="shared" si="20"/>
        <v>161.33039999999997</v>
      </c>
      <c r="G125" s="286">
        <f t="shared" si="20"/>
        <v>177.46343999999996</v>
      </c>
      <c r="H125" s="286">
        <f t="shared" si="20"/>
        <v>193.59647999999999</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118.55339999999998</v>
      </c>
      <c r="C127" s="286">
        <f t="shared" si="20"/>
        <v>138.31229999999996</v>
      </c>
      <c r="D127" s="286">
        <f t="shared" si="20"/>
        <v>158.07119999999998</v>
      </c>
      <c r="E127" s="286">
        <f t="shared" si="20"/>
        <v>177.83009999999996</v>
      </c>
      <c r="F127" s="286">
        <f t="shared" si="20"/>
        <v>197.58899999999997</v>
      </c>
      <c r="G127" s="286">
        <f t="shared" si="20"/>
        <v>217.34789999999995</v>
      </c>
      <c r="H127" s="286">
        <f t="shared" si="20"/>
        <v>237.10679999999996</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313.49430000000001</v>
      </c>
      <c r="C129" s="286">
        <f t="shared" si="20"/>
        <v>365.74334999999996</v>
      </c>
      <c r="D129" s="286">
        <f t="shared" si="20"/>
        <v>417.99239999999998</v>
      </c>
      <c r="E129" s="286">
        <f t="shared" si="20"/>
        <v>470.24144999999993</v>
      </c>
      <c r="F129" s="286">
        <f t="shared" si="20"/>
        <v>522.49049999999988</v>
      </c>
      <c r="G129" s="286">
        <f t="shared" si="20"/>
        <v>574.73954999999989</v>
      </c>
      <c r="H129" s="286">
        <f t="shared" si="20"/>
        <v>626.98860000000002</v>
      </c>
    </row>
    <row r="130" spans="1:8">
      <c r="A130" s="98" t="str">
        <f t="shared" si="19"/>
        <v>Channa</v>
      </c>
      <c r="B130" s="286">
        <f t="shared" ref="B130:H139" si="21">B78-(B78*$G$6)</f>
        <v>975.3155999999999</v>
      </c>
      <c r="C130" s="286">
        <f t="shared" si="21"/>
        <v>1137.8681999999999</v>
      </c>
      <c r="D130" s="286">
        <f t="shared" si="21"/>
        <v>1300.4207999999996</v>
      </c>
      <c r="E130" s="286">
        <f t="shared" si="21"/>
        <v>1462.9733999999999</v>
      </c>
      <c r="F130" s="286">
        <f t="shared" si="21"/>
        <v>1625.5259999999998</v>
      </c>
      <c r="G130" s="286">
        <f t="shared" si="21"/>
        <v>1788.0785999999996</v>
      </c>
      <c r="H130" s="286">
        <f t="shared" si="21"/>
        <v>1950.6311999999998</v>
      </c>
    </row>
    <row r="131" spans="1:8">
      <c r="A131" s="98" t="str">
        <f t="shared" si="19"/>
        <v>Jawar</v>
      </c>
      <c r="B131" s="286">
        <f t="shared" si="21"/>
        <v>113.81126399999999</v>
      </c>
      <c r="C131" s="286">
        <f t="shared" si="21"/>
        <v>132.779808</v>
      </c>
      <c r="D131" s="286">
        <f t="shared" si="21"/>
        <v>151.74835199999998</v>
      </c>
      <c r="E131" s="286">
        <f t="shared" si="21"/>
        <v>170.71689599999999</v>
      </c>
      <c r="F131" s="286">
        <f t="shared" si="21"/>
        <v>189.68543999999997</v>
      </c>
      <c r="G131" s="286">
        <f t="shared" si="21"/>
        <v>208.65398400000001</v>
      </c>
      <c r="H131" s="286">
        <f t="shared" si="21"/>
        <v>227.62252799999999</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36.299340000000001</v>
      </c>
      <c r="C134" s="286">
        <f t="shared" si="21"/>
        <v>42.349229999999999</v>
      </c>
      <c r="D134" s="286">
        <f t="shared" si="21"/>
        <v>48.399119999999996</v>
      </c>
      <c r="E134" s="286">
        <f t="shared" si="21"/>
        <v>54.449009999999994</v>
      </c>
      <c r="F134" s="286">
        <f t="shared" si="21"/>
        <v>60.498899999999992</v>
      </c>
      <c r="G134" s="286">
        <f t="shared" si="21"/>
        <v>66.548789999999983</v>
      </c>
      <c r="H134" s="286">
        <f t="shared" si="21"/>
        <v>72.598680000000002</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4.8399119999999991</v>
      </c>
      <c r="C137" s="286">
        <f t="shared" si="21"/>
        <v>5.6465639999999988</v>
      </c>
      <c r="D137" s="286">
        <f t="shared" si="21"/>
        <v>6.4532159999999985</v>
      </c>
      <c r="E137" s="286">
        <f t="shared" si="21"/>
        <v>7.2598679999999973</v>
      </c>
      <c r="F137" s="286">
        <f t="shared" si="21"/>
        <v>8.066519999999997</v>
      </c>
      <c r="G137" s="286">
        <f t="shared" si="21"/>
        <v>8.8731719999999967</v>
      </c>
      <c r="H137" s="286">
        <f t="shared" si="21"/>
        <v>9.6798239999999982</v>
      </c>
    </row>
    <row r="138" spans="1:8">
      <c r="A138" s="98" t="str">
        <f t="shared" si="19"/>
        <v>Paddy</v>
      </c>
      <c r="B138" s="286">
        <f t="shared" si="21"/>
        <v>3.6299339999999995</v>
      </c>
      <c r="C138" s="286">
        <f t="shared" si="21"/>
        <v>4.2349230000000002</v>
      </c>
      <c r="D138" s="286">
        <f t="shared" si="21"/>
        <v>4.8399119999999991</v>
      </c>
      <c r="E138" s="286">
        <f t="shared" si="21"/>
        <v>5.4449009999999998</v>
      </c>
      <c r="F138" s="286">
        <f t="shared" si="21"/>
        <v>6.0498899999999987</v>
      </c>
      <c r="G138" s="286">
        <f t="shared" si="21"/>
        <v>6.6548789999999984</v>
      </c>
      <c r="H138" s="286">
        <f t="shared" si="21"/>
        <v>7.2598679999999991</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3" t="s">
        <v>572</v>
      </c>
      <c r="B170" s="413"/>
      <c r="C170" s="413"/>
      <c r="D170" s="413"/>
      <c r="E170" s="413"/>
      <c r="F170" s="413"/>
      <c r="G170" s="413"/>
      <c r="H170" s="413"/>
      <c r="I170" s="413"/>
      <c r="J170" s="413"/>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4247022.7799999993</v>
      </c>
      <c r="E178" s="199">
        <f>((C120*(1-'5.Closing Stock &amp; W Capital'!$D$15))+(B120*'5.Closing Stock &amp; W Capital'!$D$15))*$C178*E$172</f>
        <v>8175518.8514999989</v>
      </c>
      <c r="F178" s="199">
        <f>((D120*(1-'5.Closing Stock &amp; W Capital'!$D$15))+(C120*'5.Closing Stock &amp; W Capital'!$D$15))*$C178*F$172</f>
        <v>9884945.5204499979</v>
      </c>
      <c r="G178" s="199">
        <f>((E120*(1-'5.Closing Stock &amp; W Capital'!$D$15))+(D120*'5.Closing Stock &amp; W Capital'!$D$15))*$C178*G$172</f>
        <v>11744876.059166249</v>
      </c>
      <c r="H178" s="199">
        <f>((F120*(1-'5.Closing Stock &amp; W Capital'!$D$15))+(E120*'5.Closing Stock &amp; W Capital'!$D$15))*$C178*H$172</f>
        <v>13766087.287953001</v>
      </c>
      <c r="I178" s="199">
        <f>((G120*(1-'5.Closing Stock &amp; W Capital'!$D$15))+(F120*'5.Closing Stock &amp; W Capital'!$D$15))*$C178*I$172</f>
        <v>15960057.449470511</v>
      </c>
      <c r="J178" s="199">
        <f>((H120*(1-'5.Closing Stock &amp; W Capital'!$D$15))+(G120*'5.Closing Stock &amp; W Capital'!$D$15))*$C178*J$172</f>
        <v>18339009.408919893</v>
      </c>
      <c r="K178" s="93"/>
      <c r="L178" s="93"/>
    </row>
    <row r="179" spans="1:12">
      <c r="A179" s="94" t="str">
        <f t="shared" si="32"/>
        <v>Tur</v>
      </c>
      <c r="B179" s="94" t="s">
        <v>361</v>
      </c>
      <c r="C179" s="250">
        <v>6500</v>
      </c>
      <c r="D179" s="199">
        <f>(B121*(1-'5.Closing Stock &amp; W Capital'!$D$15))*$C179*D$172</f>
        <v>452825.09999999992</v>
      </c>
      <c r="E179" s="199">
        <f>((C121*(1-'5.Closing Stock &amp; W Capital'!$D$15))+(B121*'5.Closing Stock &amp; W Capital'!$D$15))*$C179*E$172</f>
        <v>871688.31749999989</v>
      </c>
      <c r="F179" s="199">
        <f>((D121*(1-'5.Closing Stock &amp; W Capital'!$D$15))+(C121*'5.Closing Stock &amp; W Capital'!$D$15))*$C179*F$172</f>
        <v>1053950.42025</v>
      </c>
      <c r="G179" s="199">
        <f>((E121*(1-'5.Closing Stock &amp; W Capital'!$D$15))+(D121*'5.Closing Stock &amp; W Capital'!$D$15))*$C179*G$172</f>
        <v>1252259.5124812499</v>
      </c>
      <c r="H179" s="199">
        <f>((F121*(1-'5.Closing Stock &amp; W Capital'!$D$15))+(E121*'5.Closing Stock &amp; W Capital'!$D$15))*$C179*H$172</f>
        <v>1467764.6378849999</v>
      </c>
      <c r="I179" s="199">
        <f>((G121*(1-'5.Closing Stock &amp; W Capital'!$D$15))+(F121*'5.Closing Stock &amp; W Capital'!$D$15))*$C179*I$172</f>
        <v>1701689.6270479218</v>
      </c>
      <c r="J179" s="199">
        <f>((H121*(1-'5.Closing Stock &amp; W Capital'!$D$15))+(G121*'5.Closing Stock &amp; W Capital'!$D$15))*$C179*J$172</f>
        <v>1955337.7035324236</v>
      </c>
      <c r="K179" s="93"/>
      <c r="L179" s="93"/>
    </row>
    <row r="180" spans="1:12">
      <c r="A180" s="94" t="str">
        <f t="shared" si="32"/>
        <v>Turmeric</v>
      </c>
      <c r="B180" s="94" t="s">
        <v>361</v>
      </c>
      <c r="C180" s="250">
        <v>10000</v>
      </c>
      <c r="D180" s="199">
        <f>(B122*(1-'5.Closing Stock &amp; W Capital'!$D$15))*$C180*D$172</f>
        <v>7622861.3999999985</v>
      </c>
      <c r="E180" s="199">
        <f>((C122*(1-'5.Closing Stock &amp; W Capital'!$D$15))+(B122*'5.Closing Stock &amp; W Capital'!$D$15))*$C180*E$172</f>
        <v>14674008.194999998</v>
      </c>
      <c r="F180" s="199">
        <f>((D122*(1-'5.Closing Stock &amp; W Capital'!$D$15))+(C122*'5.Closing Stock &amp; W Capital'!$D$15))*$C180*F$172</f>
        <v>17742209.908499997</v>
      </c>
      <c r="G180" s="199">
        <f>((E122*(1-'5.Closing Stock &amp; W Capital'!$D$15))+(D122*'5.Closing Stock &amp; W Capital'!$D$15))*$C180*G$172</f>
        <v>21080546.772862498</v>
      </c>
      <c r="H180" s="199">
        <f>((F122*(1-'5.Closing Stock &amp; W Capital'!$D$15))+(E122*'5.Closing Stock &amp; W Capital'!$D$15))*$C180*H$172</f>
        <v>24708361.798889998</v>
      </c>
      <c r="I180" s="199">
        <f>((G122*(1-'5.Closing Stock &amp; W Capital'!$D$15))+(F122*'5.Closing Stock &amp; W Capital'!$D$15))*$C180*I$172</f>
        <v>28646256.960588094</v>
      </c>
      <c r="J180" s="199">
        <f>((H122*(1-'5.Closing Stock &amp; W Capital'!$D$15))+(G122*'5.Closing Stock &amp; W Capital'!$D$15))*$C180*J$172</f>
        <v>32916170.733958781</v>
      </c>
      <c r="K180" s="93"/>
      <c r="L180" s="93"/>
    </row>
    <row r="181" spans="1:12">
      <c r="A181" s="94" t="str">
        <f t="shared" si="32"/>
        <v>Moong</v>
      </c>
      <c r="B181" s="94" t="s">
        <v>361</v>
      </c>
      <c r="C181" s="250">
        <v>5500</v>
      </c>
      <c r="D181" s="199">
        <f>(B123*(1-'5.Closing Stock &amp; W Capital'!$D$15))*$C181*D$172</f>
        <v>279504.91799999995</v>
      </c>
      <c r="E181" s="199">
        <f>((C123*(1-'5.Closing Stock &amp; W Capital'!$D$15))+(B123*'5.Closing Stock &amp; W Capital'!$D$15))*$C181*E$172</f>
        <v>538046.96715000004</v>
      </c>
      <c r="F181" s="199">
        <f>((D123*(1-'5.Closing Stock &amp; W Capital'!$D$15))+(C123*'5.Closing Stock &amp; W Capital'!$D$15))*$C181*F$172</f>
        <v>650547.69664500002</v>
      </c>
      <c r="G181" s="199">
        <f>((E123*(1-'5.Closing Stock &amp; W Capital'!$D$15))+(D123*'5.Closing Stock &amp; W Capital'!$D$15))*$C181*G$172</f>
        <v>772953.38167162496</v>
      </c>
      <c r="H181" s="199">
        <f>((F123*(1-'5.Closing Stock &amp; W Capital'!$D$15))+(E123*'5.Closing Stock &amp; W Capital'!$D$15))*$C181*H$172</f>
        <v>905973.26595929987</v>
      </c>
      <c r="I181" s="199">
        <f>((G123*(1-'5.Closing Stock &amp; W Capital'!$D$15))+(F123*'5.Closing Stock &amp; W Capital'!$D$15))*$C181*I$172</f>
        <v>1050362.7552215636</v>
      </c>
      <c r="J181" s="199">
        <f>((H123*(1-'5.Closing Stock &amp; W Capital'!$D$15))+(G123*'5.Closing Stock &amp; W Capital'!$D$15))*$C181*J$172</f>
        <v>1206926.2602451555</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348473.66399999993</v>
      </c>
      <c r="E183" s="199">
        <f>((C125*(1-'5.Closing Stock &amp; W Capital'!$D$15))+(B125*'5.Closing Stock &amp; W Capital'!$D$15))*$C183*E$172</f>
        <v>670811.80319999997</v>
      </c>
      <c r="F183" s="199">
        <f>((D125*(1-'5.Closing Stock &amp; W Capital'!$D$15))+(C125*'5.Closing Stock &amp; W Capital'!$D$15))*$C183*F$172</f>
        <v>811072.45296000002</v>
      </c>
      <c r="G183" s="199">
        <f>((E125*(1-'5.Closing Stock &amp; W Capital'!$D$15))+(D125*'5.Closing Stock &amp; W Capital'!$D$15))*$C183*G$172</f>
        <v>963682.13818799995</v>
      </c>
      <c r="H183" s="199">
        <f>((F125*(1-'5.Closing Stock &amp; W Capital'!$D$15))+(E125*'5.Closing Stock &amp; W Capital'!$D$15))*$C183*H$172</f>
        <v>1129525.1108064</v>
      </c>
      <c r="I183" s="199">
        <f>((G125*(1-'5.Closing Stock &amp; W Capital'!$D$15))+(F125*'5.Closing Stock &amp; W Capital'!$D$15))*$C183*I$172</f>
        <v>1309543.17534117</v>
      </c>
      <c r="J183" s="199">
        <f>((H125*(1-'5.Closing Stock &amp; W Capital'!$D$15))+(G125*'5.Closing Stock &amp; W Capital'!$D$15))*$C183*J$172</f>
        <v>1504739.2335524014</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142264.07999999999</v>
      </c>
      <c r="E185" s="199">
        <f>((C127*(1-'5.Closing Stock &amp; W Capital'!$D$15))+(B127*'5.Closing Stock &amp; W Capital'!$D$15))*$C185*E$172</f>
        <v>273858.35399999993</v>
      </c>
      <c r="F185" s="199">
        <f>((D127*(1-'5.Closing Stock &amp; W Capital'!$D$15))+(C127*'5.Closing Stock &amp; W Capital'!$D$15))*$C185*F$172</f>
        <v>331119.64619999996</v>
      </c>
      <c r="G185" s="199">
        <f>((E127*(1-'5.Closing Stock &amp; W Capital'!$D$15))+(D127*'5.Closing Stock &amp; W Capital'!$D$15))*$C185*G$172</f>
        <v>393422.42173499992</v>
      </c>
      <c r="H185" s="199">
        <f>((F127*(1-'5.Closing Stock &amp; W Capital'!$D$15))+(E127*'5.Closing Stock &amp; W Capital'!$D$15))*$C185*H$172</f>
        <v>461127.67570800002</v>
      </c>
      <c r="I185" s="199">
        <f>((G127*(1-'5.Closing Stock &amp; W Capital'!$D$15))+(F127*'5.Closing Stock &amp; W Capital'!$D$15))*$C185*I$172</f>
        <v>534619.89902396256</v>
      </c>
      <c r="J185" s="199">
        <f>((H127*(1-'5.Closing Stock &amp; W Capital'!$D$15))+(G127*'5.Closing Stock &amp; W Capital'!$D$15))*$C185*J$172</f>
        <v>614308.52548225131</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413812.47599999997</v>
      </c>
      <c r="E187" s="199">
        <f>((C129*(1-'5.Closing Stock &amp; W Capital'!$D$15))+(B129*'5.Closing Stock &amp; W Capital'!$D$15))*$C187*E$172</f>
        <v>796589.01630000002</v>
      </c>
      <c r="F187" s="199">
        <f>((D129*(1-'5.Closing Stock &amp; W Capital'!$D$15))+(C129*'5.Closing Stock &amp; W Capital'!$D$15))*$C187*F$172</f>
        <v>963148.53788999992</v>
      </c>
      <c r="G187" s="199">
        <f>((E129*(1-'5.Closing Stock &amp; W Capital'!$D$15))+(D129*'5.Closing Stock &amp; W Capital'!$D$15))*$C187*G$172</f>
        <v>1144372.53909825</v>
      </c>
      <c r="H187" s="199">
        <f>((F129*(1-'5.Closing Stock &amp; W Capital'!$D$15))+(E129*'5.Closing Stock &amp; W Capital'!$D$15))*$C187*H$172</f>
        <v>1341311.0690826001</v>
      </c>
      <c r="I187" s="199">
        <f>((G129*(1-'5.Closing Stock &amp; W Capital'!$D$15))+(F129*'5.Closing Stock &amp; W Capital'!$D$15))*$C187*I$172</f>
        <v>1555082.5207176395</v>
      </c>
      <c r="J187" s="199">
        <f>((H129*(1-'5.Closing Stock &amp; W Capital'!$D$15))+(G129*'5.Closing Stock &amp; W Capital'!$D$15))*$C187*J$172</f>
        <v>1786877.8398434769</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t="str">
        <f t="shared" si="32"/>
        <v>Paddy</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72560.249999999985</v>
      </c>
      <c r="E200" s="199">
        <f t="shared" si="33"/>
        <v>88886.30624999998</v>
      </c>
      <c r="F200" s="199">
        <f t="shared" si="33"/>
        <v>106663.56750000002</v>
      </c>
      <c r="G200" s="199">
        <f t="shared" si="33"/>
        <v>125996.33910937498</v>
      </c>
      <c r="H200" s="199">
        <f t="shared" si="33"/>
        <v>146995.72896093756</v>
      </c>
      <c r="I200" s="199">
        <f t="shared" si="33"/>
        <v>169780.06694988284</v>
      </c>
      <c r="J200" s="199">
        <f t="shared" si="33"/>
        <v>194475.34941532032</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13579324.667999998</v>
      </c>
      <c r="E229" s="201">
        <f t="shared" si="37"/>
        <v>26089407.810899995</v>
      </c>
      <c r="F229" s="201">
        <f t="shared" si="37"/>
        <v>31543657.750394993</v>
      </c>
      <c r="G229" s="201">
        <f t="shared" si="37"/>
        <v>37478109.164312243</v>
      </c>
      <c r="H229" s="201">
        <f t="shared" si="37"/>
        <v>43927146.575245246</v>
      </c>
      <c r="I229" s="201">
        <f t="shared" si="37"/>
        <v>50927392.454360746</v>
      </c>
      <c r="J229" s="201">
        <f t="shared" si="37"/>
        <v>58517845.054949701</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4490639.9999999991</v>
      </c>
      <c r="E233" s="95">
        <f>C68*$C$233*E$172</f>
        <v>5501033.9999999991</v>
      </c>
      <c r="F233" s="95">
        <f>D68*$C$233*F172</f>
        <v>6601240.7999999989</v>
      </c>
      <c r="G233" s="95">
        <f>E68*$C$233*G172</f>
        <v>7797715.6949999994</v>
      </c>
      <c r="H233" s="95">
        <f>F68*$C$233*H172</f>
        <v>9097334.977500001</v>
      </c>
      <c r="I233" s="95">
        <f>G68*$C$233*I172</f>
        <v>10507421.8990125</v>
      </c>
      <c r="J233" s="95">
        <f>H68*$C$233*J172</f>
        <v>12035774.175232502</v>
      </c>
      <c r="K233" s="93"/>
      <c r="L233" s="93"/>
    </row>
    <row r="234" spans="1:12">
      <c r="A234" s="94" t="str">
        <f t="shared" si="38"/>
        <v>Tur</v>
      </c>
      <c r="B234" s="94" t="s">
        <v>361</v>
      </c>
      <c r="C234" s="247">
        <v>4000</v>
      </c>
      <c r="D234" s="95">
        <f>B69*$C$234*D$172</f>
        <v>478799.99999999994</v>
      </c>
      <c r="E234" s="95">
        <f t="shared" ref="E234:J234" si="39">C69*$C$234*E172</f>
        <v>586529.99999999988</v>
      </c>
      <c r="F234" s="95">
        <f t="shared" si="39"/>
        <v>703836</v>
      </c>
      <c r="G234" s="95">
        <f t="shared" si="39"/>
        <v>831406.27499999979</v>
      </c>
      <c r="H234" s="95">
        <f t="shared" si="39"/>
        <v>969973.98749999981</v>
      </c>
      <c r="I234" s="95">
        <f t="shared" si="39"/>
        <v>1120319.9555625001</v>
      </c>
      <c r="J234" s="95">
        <f t="shared" si="39"/>
        <v>1283275.5854625001</v>
      </c>
      <c r="K234" s="93"/>
      <c r="L234" s="93"/>
    </row>
    <row r="235" spans="1:12">
      <c r="A235" s="94" t="str">
        <f t="shared" si="38"/>
        <v>Turmeric</v>
      </c>
      <c r="B235" s="94" t="s">
        <v>361</v>
      </c>
      <c r="C235" s="247">
        <v>6000</v>
      </c>
      <c r="D235" s="95">
        <f>B70*$C$235*D$172</f>
        <v>7858619.9999999981</v>
      </c>
      <c r="E235" s="95">
        <f t="shared" ref="E235:J235" si="40">C70*$C$235*E172</f>
        <v>9626809.4999999981</v>
      </c>
      <c r="F235" s="95">
        <f t="shared" si="40"/>
        <v>11552171.399999999</v>
      </c>
      <c r="G235" s="95">
        <f t="shared" si="40"/>
        <v>13646002.466249997</v>
      </c>
      <c r="H235" s="95">
        <f t="shared" si="40"/>
        <v>15920336.210624998</v>
      </c>
      <c r="I235" s="95">
        <f t="shared" si="40"/>
        <v>18387988.323271874</v>
      </c>
      <c r="J235" s="95">
        <f t="shared" si="40"/>
        <v>21062604.806656875</v>
      </c>
      <c r="K235" s="93"/>
      <c r="L235" s="93"/>
    </row>
    <row r="236" spans="1:12">
      <c r="A236" s="94" t="str">
        <f t="shared" si="38"/>
        <v>Moong</v>
      </c>
      <c r="B236" s="94" t="s">
        <v>361</v>
      </c>
      <c r="C236" s="247">
        <v>2000</v>
      </c>
      <c r="D236" s="95">
        <f t="shared" ref="D236:J236" si="41">B71*$C$236*D$172</f>
        <v>174636</v>
      </c>
      <c r="E236" s="95">
        <f t="shared" si="41"/>
        <v>213929.1</v>
      </c>
      <c r="F236" s="95">
        <f t="shared" si="41"/>
        <v>256714.91999999998</v>
      </c>
      <c r="G236" s="95">
        <f t="shared" si="41"/>
        <v>303244.49924999999</v>
      </c>
      <c r="H236" s="95">
        <f t="shared" si="41"/>
        <v>353785.24912499997</v>
      </c>
      <c r="I236" s="95">
        <f t="shared" si="41"/>
        <v>408621.96273937513</v>
      </c>
      <c r="J236" s="95">
        <f t="shared" si="41"/>
        <v>468057.88459237525</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498959.99999999994</v>
      </c>
      <c r="E238" s="95">
        <f t="shared" si="43"/>
        <v>611226</v>
      </c>
      <c r="F238" s="95">
        <f t="shared" si="43"/>
        <v>733471.2</v>
      </c>
      <c r="G238" s="95">
        <f t="shared" si="43"/>
        <v>866412.85499999986</v>
      </c>
      <c r="H238" s="95">
        <f t="shared" si="43"/>
        <v>1010814.9974999999</v>
      </c>
      <c r="I238" s="95">
        <f t="shared" si="43"/>
        <v>1167491.3221125002</v>
      </c>
      <c r="J238" s="95">
        <f t="shared" si="43"/>
        <v>1337308.2416925002</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219995.99999999997</v>
      </c>
      <c r="E240" s="95">
        <f t="shared" si="45"/>
        <v>269495.09999999998</v>
      </c>
      <c r="F240" s="95">
        <f t="shared" si="45"/>
        <v>323394.11999999994</v>
      </c>
      <c r="G240" s="95">
        <f t="shared" si="45"/>
        <v>382009.30424999999</v>
      </c>
      <c r="H240" s="95">
        <f t="shared" si="45"/>
        <v>445677.52162499999</v>
      </c>
      <c r="I240" s="95">
        <f t="shared" si="45"/>
        <v>514757.53747687506</v>
      </c>
      <c r="J240" s="95">
        <f t="shared" si="45"/>
        <v>589631.36110987514</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639916.19999999995</v>
      </c>
      <c r="E242" s="95">
        <f t="shared" si="47"/>
        <v>783897.34499999997</v>
      </c>
      <c r="F242" s="95">
        <f t="shared" si="47"/>
        <v>940676.81400000001</v>
      </c>
      <c r="G242" s="95">
        <f t="shared" si="47"/>
        <v>1111174.4865374998</v>
      </c>
      <c r="H242" s="95">
        <f t="shared" si="47"/>
        <v>1296370.23429375</v>
      </c>
      <c r="I242" s="95">
        <f t="shared" si="47"/>
        <v>1497307.6206092814</v>
      </c>
      <c r="J242" s="95">
        <f t="shared" si="47"/>
        <v>1715097.8199706317</v>
      </c>
      <c r="K242" s="93"/>
      <c r="L242" s="93"/>
    </row>
    <row r="243" spans="1:12">
      <c r="A243" s="94" t="str">
        <f t="shared" si="38"/>
        <v>Channa</v>
      </c>
      <c r="B243" s="94" t="s">
        <v>361</v>
      </c>
      <c r="C243" s="247">
        <v>4000</v>
      </c>
      <c r="D243" s="95">
        <f t="shared" ref="D243:J243" si="48">B78*$C$243*D$172</f>
        <v>4021919.9999999995</v>
      </c>
      <c r="E243" s="95">
        <f t="shared" si="48"/>
        <v>4926852</v>
      </c>
      <c r="F243" s="95">
        <f t="shared" si="48"/>
        <v>5912222.3999999985</v>
      </c>
      <c r="G243" s="95">
        <f t="shared" si="48"/>
        <v>6983812.71</v>
      </c>
      <c r="H243" s="95">
        <f t="shared" si="48"/>
        <v>8147781.4950000001</v>
      </c>
      <c r="I243" s="95">
        <f t="shared" si="48"/>
        <v>9410687.6267250013</v>
      </c>
      <c r="J243" s="95">
        <f t="shared" si="48"/>
        <v>10779514.917885002</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t="str">
        <f t="shared" si="38"/>
        <v>Paddy</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1360.5046874999998</v>
      </c>
      <c r="E282" s="95">
        <f t="shared" si="64"/>
        <v>1666.6182421874996</v>
      </c>
      <c r="F282" s="95">
        <f t="shared" si="64"/>
        <v>1999.9418906250005</v>
      </c>
      <c r="G282" s="95">
        <f t="shared" si="64"/>
        <v>2362.4313583007811</v>
      </c>
      <c r="H282" s="95">
        <f t="shared" si="64"/>
        <v>2756.1699180175788</v>
      </c>
      <c r="I282" s="95">
        <f t="shared" si="64"/>
        <v>3183.3762553103029</v>
      </c>
      <c r="J282" s="95">
        <f t="shared" si="64"/>
        <v>3646.4128015372567</v>
      </c>
      <c r="K282" s="93"/>
      <c r="L282" s="93"/>
    </row>
    <row r="283" spans="1:12">
      <c r="A283" s="94" t="s">
        <v>143</v>
      </c>
      <c r="B283" s="94">
        <f>'2.Capex Details'!H54*0.746*8</f>
        <v>0</v>
      </c>
      <c r="C283" s="229">
        <v>6</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463</v>
      </c>
      <c r="B284" s="94"/>
      <c r="C284" s="229">
        <v>30</v>
      </c>
      <c r="D284" s="95">
        <f t="shared" ref="D284:J284" si="66">SUM(B120:B141)*$C$284*D172</f>
        <v>126690.19649999998</v>
      </c>
      <c r="E284" s="95">
        <f t="shared" si="66"/>
        <v>155195.49071249997</v>
      </c>
      <c r="F284" s="95">
        <f t="shared" si="66"/>
        <v>186234.58885499998</v>
      </c>
      <c r="G284" s="95">
        <f t="shared" si="66"/>
        <v>219989.6080849687</v>
      </c>
      <c r="H284" s="95">
        <f t="shared" si="66"/>
        <v>256654.54276579691</v>
      </c>
      <c r="I284" s="95">
        <f t="shared" si="66"/>
        <v>296435.99689449533</v>
      </c>
      <c r="J284" s="95">
        <f t="shared" si="66"/>
        <v>339553.96007914928</v>
      </c>
      <c r="K284" s="93"/>
      <c r="L284" s="93"/>
    </row>
    <row r="285" spans="1:12">
      <c r="A285" s="94" t="s">
        <v>462</v>
      </c>
      <c r="B285" s="94"/>
      <c r="C285" s="229">
        <v>30</v>
      </c>
      <c r="D285" s="95">
        <f t="shared" ref="D285:J285" si="67">SUM(B120:B141)*$C$285*D172</f>
        <v>126690.19649999998</v>
      </c>
      <c r="E285" s="95">
        <f t="shared" si="67"/>
        <v>155195.49071249997</v>
      </c>
      <c r="F285" s="95">
        <f t="shared" si="67"/>
        <v>186234.58885499998</v>
      </c>
      <c r="G285" s="95">
        <f t="shared" si="67"/>
        <v>219989.6080849687</v>
      </c>
      <c r="H285" s="95">
        <f t="shared" si="67"/>
        <v>256654.54276579691</v>
      </c>
      <c r="I285" s="95">
        <f t="shared" si="67"/>
        <v>296435.99689449533</v>
      </c>
      <c r="J285" s="95">
        <f t="shared" si="67"/>
        <v>339553.96007914928</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7404615.5604749983</v>
      </c>
      <c r="F289" s="199">
        <f>'5.Closing Stock &amp; W Capital'!G6</f>
        <v>9070654.0615818743</v>
      </c>
      <c r="G289" s="199">
        <f>'5.Closing Stock &amp; W Capital'!H6</f>
        <v>10884784.873898247</v>
      </c>
      <c r="H289" s="199">
        <f>'5.Closing Stock &amp; W Capital'!I6</f>
        <v>12857652.132292306</v>
      </c>
      <c r="I289" s="199">
        <f>'5.Closing Stock &amp; W Capital'!J6</f>
        <v>15000594.154341025</v>
      </c>
      <c r="J289" s="199">
        <f>'5.Closing Stock &amp; W Capital'!K6</f>
        <v>17325686.248263888</v>
      </c>
      <c r="K289" s="93"/>
      <c r="L289" s="93"/>
    </row>
    <row r="290" spans="1:20">
      <c r="A290" s="98" t="s">
        <v>342</v>
      </c>
      <c r="B290" s="94"/>
      <c r="C290" s="199"/>
      <c r="D290" s="199">
        <f>'5.Closing Stock &amp; W Capital'!E15</f>
        <v>7404615.5604749983</v>
      </c>
      <c r="E290" s="199">
        <f>'5.Closing Stock &amp; W Capital'!F15</f>
        <v>9070654.0615818743</v>
      </c>
      <c r="F290" s="199">
        <f>'5.Closing Stock &amp; W Capital'!G15</f>
        <v>10884784.873898247</v>
      </c>
      <c r="G290" s="199">
        <f>'5.Closing Stock &amp; W Capital'!H15</f>
        <v>12857652.132292306</v>
      </c>
      <c r="H290" s="199">
        <f>'5.Closing Stock &amp; W Capital'!I15</f>
        <v>15000594.154341025</v>
      </c>
      <c r="I290" s="199">
        <f>'5.Closing Stock &amp; W Capital'!J15</f>
        <v>17325686.248263888</v>
      </c>
      <c r="J290" s="199">
        <f>'5.Closing Stock &amp; W Capital'!K15</f>
        <v>19845786.066193175</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11233613.537212495</v>
      </c>
      <c r="E292" s="114">
        <f t="shared" si="68"/>
        <v>21165792.143560313</v>
      </c>
      <c r="F292" s="114">
        <f t="shared" si="68"/>
        <v>25584065.961284243</v>
      </c>
      <c r="G292" s="114">
        <f t="shared" si="68"/>
        <v>30391252.680421673</v>
      </c>
      <c r="H292" s="114">
        <f t="shared" si="68"/>
        <v>35615197.906569637</v>
      </c>
      <c r="I292" s="114">
        <f t="shared" si="68"/>
        <v>41285559.523631349</v>
      </c>
      <c r="J292" s="114">
        <f t="shared" si="68"/>
        <v>47433919.307632789</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696</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13033613.537212495</v>
      </c>
      <c r="E302" s="114">
        <f t="shared" si="71"/>
        <v>23055792.143560313</v>
      </c>
      <c r="F302" s="114">
        <f t="shared" si="71"/>
        <v>27568565.961284243</v>
      </c>
      <c r="G302" s="114">
        <f t="shared" si="71"/>
        <v>32474977.680421673</v>
      </c>
      <c r="H302" s="114">
        <f t="shared" si="71"/>
        <v>37803109.156569637</v>
      </c>
      <c r="I302" s="114">
        <f t="shared" si="71"/>
        <v>43582866.336131349</v>
      </c>
      <c r="J302" s="114">
        <f t="shared" si="71"/>
        <v>49846091.460757792</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545711.13078750297</v>
      </c>
      <c r="E305" s="114">
        <f t="shared" si="72"/>
        <v>3033615.6673396826</v>
      </c>
      <c r="F305" s="114">
        <f t="shared" si="72"/>
        <v>3975091.78911075</v>
      </c>
      <c r="G305" s="114">
        <f t="shared" si="72"/>
        <v>5003131.4838905707</v>
      </c>
      <c r="H305" s="114">
        <f t="shared" si="72"/>
        <v>6124037.4186756089</v>
      </c>
      <c r="I305" s="114">
        <f t="shared" si="72"/>
        <v>7344526.1182293966</v>
      </c>
      <c r="J305" s="114">
        <f t="shared" si="72"/>
        <v>8671753.5941919088</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4" t="s">
        <v>421</v>
      </c>
      <c r="B308" s="414"/>
      <c r="C308" s="414"/>
      <c r="D308" s="414"/>
      <c r="E308" s="414"/>
      <c r="F308" s="414"/>
      <c r="G308" s="414"/>
      <c r="H308" s="414"/>
      <c r="I308" s="414"/>
      <c r="J308" s="414"/>
    </row>
    <row r="310" spans="1:20">
      <c r="A310" t="s">
        <v>535</v>
      </c>
    </row>
    <row r="311" spans="1:20">
      <c r="A311">
        <v>1</v>
      </c>
      <c r="B311" t="s">
        <v>546</v>
      </c>
    </row>
    <row r="312" spans="1:20">
      <c r="A312">
        <v>2</v>
      </c>
      <c r="B312" t="s">
        <v>547</v>
      </c>
    </row>
    <row r="313" spans="1:20">
      <c r="A313">
        <v>3</v>
      </c>
      <c r="B313" s="93" t="s">
        <v>587</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3" t="s">
        <v>687</v>
      </c>
      <c r="B3" s="413"/>
      <c r="C3" s="413"/>
      <c r="D3" s="413"/>
      <c r="E3" s="413"/>
      <c r="F3" s="413"/>
      <c r="G3" s="413"/>
      <c r="H3" s="413"/>
    </row>
    <row r="4" spans="1:8" ht="18.75">
      <c r="A4" s="413" t="s">
        <v>573</v>
      </c>
      <c r="B4" s="413"/>
      <c r="C4" s="413"/>
      <c r="D4" s="413"/>
      <c r="E4" s="413"/>
      <c r="F4" s="413"/>
      <c r="G4" s="413"/>
      <c r="H4" s="413"/>
    </row>
    <row r="5" spans="1:8">
      <c r="A5" s="93" t="s">
        <v>159</v>
      </c>
      <c r="B5" s="240">
        <f>10000/100</f>
        <v>100</v>
      </c>
      <c r="C5" s="93" t="s">
        <v>473</v>
      </c>
      <c r="D5" s="93" t="s">
        <v>710</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2.2437187499999998</v>
      </c>
      <c r="C12" s="301">
        <f t="shared" ref="C12:H12" si="0">C32/($B$5*$B$6)</f>
        <v>3.3655781250000003</v>
      </c>
      <c r="D12" s="301">
        <f t="shared" si="0"/>
        <v>4.4874374999999995</v>
      </c>
      <c r="E12" s="301">
        <f t="shared" si="0"/>
        <v>5.609296875000001</v>
      </c>
      <c r="F12" s="301">
        <f t="shared" si="0"/>
        <v>6.7311562500000006</v>
      </c>
      <c r="G12" s="301">
        <f t="shared" si="0"/>
        <v>7.8530156250000003</v>
      </c>
      <c r="H12" s="301">
        <f t="shared" si="0"/>
        <v>8.974874999999999</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66.5</v>
      </c>
      <c r="C14" s="94">
        <f>'10.Grain Production details'!C68</f>
        <v>99.750000000000014</v>
      </c>
      <c r="D14" s="94">
        <f>'10.Grain Production details'!D68</f>
        <v>133</v>
      </c>
      <c r="E14" s="94">
        <f>'10.Grain Production details'!E68</f>
        <v>166.25</v>
      </c>
      <c r="F14" s="94">
        <f>'10.Grain Production details'!F68</f>
        <v>199.5</v>
      </c>
      <c r="G14" s="94">
        <f>'10.Grain Production details'!G68</f>
        <v>232.74999999999997</v>
      </c>
      <c r="H14" s="94">
        <f>'10.Grain Production details'!H68</f>
        <v>266</v>
      </c>
    </row>
    <row r="15" spans="1:8">
      <c r="A15" s="94" t="str">
        <f>'10.Grain Production details'!A69</f>
        <v>Turmeric</v>
      </c>
      <c r="B15" s="94">
        <f>'10.Grain Production details'!B69</f>
        <v>727.65</v>
      </c>
      <c r="C15" s="94">
        <f>'10.Grain Production details'!C69</f>
        <v>1091.4750000000001</v>
      </c>
      <c r="D15" s="94">
        <f>'10.Grain Production details'!D69</f>
        <v>1455.3000000000002</v>
      </c>
      <c r="E15" s="94">
        <f>'10.Grain Production details'!E69</f>
        <v>1819.1250000000002</v>
      </c>
      <c r="F15" s="94">
        <f>'10.Grain Production details'!F69</f>
        <v>2182.9500000000003</v>
      </c>
      <c r="G15" s="94">
        <f>'10.Grain Production details'!G69</f>
        <v>2546.7750000000001</v>
      </c>
      <c r="H15" s="94">
        <f>'10.Grain Production details'!H69</f>
        <v>2910.6</v>
      </c>
    </row>
    <row r="16" spans="1:8">
      <c r="A16" s="94" t="str">
        <f>'10.Grain Production details'!A70</f>
        <v>Moong</v>
      </c>
      <c r="B16" s="94">
        <f>'10.Grain Production details'!B70</f>
        <v>48.510000000000005</v>
      </c>
      <c r="C16" s="94">
        <f>'10.Grain Production details'!C70</f>
        <v>72.765000000000015</v>
      </c>
      <c r="D16" s="94">
        <f>'10.Grain Production details'!D70</f>
        <v>97.02000000000001</v>
      </c>
      <c r="E16" s="94">
        <f>'10.Grain Production details'!E70</f>
        <v>121.27500000000001</v>
      </c>
      <c r="F16" s="94">
        <f>'10.Grain Production details'!F70</f>
        <v>145.53</v>
      </c>
      <c r="G16" s="94">
        <f>'10.Grain Production details'!G70</f>
        <v>169.785</v>
      </c>
      <c r="H16" s="94">
        <f>'10.Grain Production details'!H70</f>
        <v>194.04</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55.44</v>
      </c>
      <c r="C18" s="94">
        <f>'10.Grain Production details'!C72</f>
        <v>83.160000000000011</v>
      </c>
      <c r="D18" s="94">
        <f>'10.Grain Production details'!D72</f>
        <v>110.88</v>
      </c>
      <c r="E18" s="94">
        <f>'10.Grain Production details'!E72</f>
        <v>138.6</v>
      </c>
      <c r="F18" s="94">
        <f>'10.Grain Production details'!F72</f>
        <v>166.32</v>
      </c>
      <c r="G18" s="94">
        <f>'10.Grain Production details'!G72</f>
        <v>194.04</v>
      </c>
      <c r="H18" s="94">
        <f>'10.Grain Production details'!H72</f>
        <v>221.75999999999996</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67.900000000000006</v>
      </c>
      <c r="C20" s="94">
        <f>'10.Grain Production details'!C74</f>
        <v>101.85000000000001</v>
      </c>
      <c r="D20" s="94">
        <f>'10.Grain Production details'!D74</f>
        <v>135.80000000000001</v>
      </c>
      <c r="E20" s="94">
        <f>'10.Grain Production details'!E74</f>
        <v>169.75</v>
      </c>
      <c r="F20" s="94">
        <f>'10.Grain Production details'!F74</f>
        <v>203.7</v>
      </c>
      <c r="G20" s="94">
        <f>'10.Grain Production details'!G74</f>
        <v>237.64999999999998</v>
      </c>
      <c r="H20" s="94">
        <f>'10.Grain Production details'!H74</f>
        <v>271.59999999999997</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179.55</v>
      </c>
      <c r="C22" s="94">
        <f>'10.Grain Production details'!C76</f>
        <v>269.32500000000005</v>
      </c>
      <c r="D22" s="94">
        <f>'10.Grain Production details'!D76</f>
        <v>359.1</v>
      </c>
      <c r="E22" s="94">
        <f>'10.Grain Production details'!E76</f>
        <v>448.875</v>
      </c>
      <c r="F22" s="94">
        <f>'10.Grain Production details'!F76</f>
        <v>538.65</v>
      </c>
      <c r="G22" s="94">
        <f>'10.Grain Production details'!G76</f>
        <v>628.42499999999995</v>
      </c>
      <c r="H22" s="94">
        <f>'10.Grain Production details'!H76</f>
        <v>718.19999999999993</v>
      </c>
    </row>
    <row r="23" spans="1:8">
      <c r="A23" s="94" t="str">
        <f>'10.Grain Production details'!A77</f>
        <v>Channa</v>
      </c>
      <c r="B23" s="94">
        <f>'10.Grain Production details'!B77</f>
        <v>558.6</v>
      </c>
      <c r="C23" s="94">
        <f>'10.Grain Production details'!C77</f>
        <v>837.90000000000009</v>
      </c>
      <c r="D23" s="94">
        <f>'10.Grain Production details'!D77</f>
        <v>1117.2</v>
      </c>
      <c r="E23" s="94">
        <f>'10.Grain Production details'!E77</f>
        <v>1396.5</v>
      </c>
      <c r="F23" s="94">
        <f>'10.Grain Production details'!F77</f>
        <v>1675.8</v>
      </c>
      <c r="G23" s="94">
        <f>'10.Grain Production details'!G77</f>
        <v>1955.1</v>
      </c>
      <c r="H23" s="94">
        <f>'10.Grain Production details'!H77</f>
        <v>2234.3999999999996</v>
      </c>
    </row>
    <row r="24" spans="1:8">
      <c r="A24" s="94" t="str">
        <f>'10.Grain Production details'!A78</f>
        <v>Jawar</v>
      </c>
      <c r="B24" s="94">
        <f>'10.Grain Production details'!B78</f>
        <v>65.184000000000012</v>
      </c>
      <c r="C24" s="94">
        <f>'10.Grain Production details'!C78</f>
        <v>97.776000000000025</v>
      </c>
      <c r="D24" s="94">
        <f>'10.Grain Production details'!D78</f>
        <v>130.36800000000002</v>
      </c>
      <c r="E24" s="94">
        <f>'10.Grain Production details'!E78</f>
        <v>162.96</v>
      </c>
      <c r="F24" s="94">
        <f>'10.Grain Production details'!F78</f>
        <v>195.55199999999999</v>
      </c>
      <c r="G24" s="94">
        <f>'10.Grain Production details'!G78</f>
        <v>228.14400000000001</v>
      </c>
      <c r="H24" s="94">
        <f>'10.Grain Production details'!H78</f>
        <v>260.73599999999999</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20.790000000000003</v>
      </c>
      <c r="C27" s="94">
        <f>'10.Grain Production details'!C81</f>
        <v>31.185000000000006</v>
      </c>
      <c r="D27" s="94">
        <f>'10.Grain Production details'!D81</f>
        <v>41.580000000000005</v>
      </c>
      <c r="E27" s="94">
        <f>'10.Grain Production details'!E81</f>
        <v>51.975000000000001</v>
      </c>
      <c r="F27" s="94">
        <f>'10.Grain Production details'!F81</f>
        <v>62.37</v>
      </c>
      <c r="G27" s="94">
        <f>'10.Grain Production details'!G81</f>
        <v>72.765000000000001</v>
      </c>
      <c r="H27" s="94">
        <f>'10.Grain Production details'!H81</f>
        <v>83.16</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2.7720000000000002</v>
      </c>
      <c r="C30" s="94">
        <f>'10.Grain Production details'!C84</f>
        <v>4.1580000000000013</v>
      </c>
      <c r="D30" s="94">
        <f>'10.Grain Production details'!D84</f>
        <v>5.5440000000000014</v>
      </c>
      <c r="E30" s="94">
        <f>'10.Grain Production details'!E84</f>
        <v>6.9300000000000015</v>
      </c>
      <c r="F30" s="94">
        <f>'10.Grain Production details'!F84</f>
        <v>8.3160000000000007</v>
      </c>
      <c r="G30" s="94">
        <f>'10.Grain Production details'!G84</f>
        <v>9.702</v>
      </c>
      <c r="H30" s="94">
        <f>'10.Grain Production details'!H84</f>
        <v>11.087999999999999</v>
      </c>
    </row>
    <row r="31" spans="1:8">
      <c r="A31" s="94" t="str">
        <f>'10.Grain Production details'!A85</f>
        <v>Paddy</v>
      </c>
      <c r="B31" s="94">
        <f>'10.Grain Production details'!B85</f>
        <v>2.0790000000000002</v>
      </c>
      <c r="C31" s="94">
        <f>'10.Grain Production details'!C85</f>
        <v>3.1185000000000005</v>
      </c>
      <c r="D31" s="94">
        <f>'10.Grain Production details'!D85</f>
        <v>4.1580000000000004</v>
      </c>
      <c r="E31" s="94">
        <f>'10.Grain Production details'!E85</f>
        <v>5.1974999999999998</v>
      </c>
      <c r="F31" s="94">
        <f>'10.Grain Production details'!F85</f>
        <v>6.2369999999999992</v>
      </c>
      <c r="G31" s="94">
        <f>'10.Grain Production details'!G85</f>
        <v>7.2764999999999995</v>
      </c>
      <c r="H31" s="94">
        <f>'10.Grain Production details'!H85</f>
        <v>8.3159999999999989</v>
      </c>
    </row>
    <row r="32" spans="1:8">
      <c r="A32" s="94" t="s">
        <v>464</v>
      </c>
      <c r="B32" s="94">
        <f>SUM(B13:B31)</f>
        <v>1794.9749999999999</v>
      </c>
      <c r="C32" s="94">
        <f t="shared" ref="C32:H32" si="1">SUM(C13:C31)</f>
        <v>2692.4625000000001</v>
      </c>
      <c r="D32" s="94">
        <f t="shared" si="1"/>
        <v>3589.95</v>
      </c>
      <c r="E32" s="94">
        <f t="shared" si="1"/>
        <v>4487.4375000000009</v>
      </c>
      <c r="F32" s="94">
        <f t="shared" si="1"/>
        <v>5384.9250000000002</v>
      </c>
      <c r="G32" s="94">
        <f t="shared" si="1"/>
        <v>6282.4125000000004</v>
      </c>
      <c r="H32" s="94">
        <f t="shared" si="1"/>
        <v>7179.8999999999987</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474</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179.4975</v>
      </c>
      <c r="C35" s="250">
        <f t="shared" ref="C35:H35" si="4">C32*C33</f>
        <v>269.24625000000003</v>
      </c>
      <c r="D35" s="250">
        <f t="shared" si="4"/>
        <v>358.995</v>
      </c>
      <c r="E35" s="250">
        <f t="shared" si="4"/>
        <v>448.74375000000009</v>
      </c>
      <c r="F35" s="250">
        <f t="shared" si="4"/>
        <v>538.49250000000006</v>
      </c>
      <c r="G35" s="250">
        <f t="shared" si="4"/>
        <v>628.24125000000004</v>
      </c>
      <c r="H35" s="250">
        <f t="shared" si="4"/>
        <v>717.9899999999999</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59.85</v>
      </c>
      <c r="C38" s="95">
        <f t="shared" ref="C38:C55" si="8">C14*$C$34</f>
        <v>89.77500000000002</v>
      </c>
      <c r="D38" s="95">
        <f t="shared" ref="D38:D55" si="9">D14*$D$34</f>
        <v>119.7</v>
      </c>
      <c r="E38" s="95">
        <f t="shared" ref="E38:E55" si="10">E14*$E$34</f>
        <v>149.625</v>
      </c>
      <c r="F38" s="95">
        <f t="shared" ref="F38:F55" si="11">F14*$F$34</f>
        <v>179.55</v>
      </c>
      <c r="G38" s="95">
        <f t="shared" ref="G38:G55" si="12">G14*$G$34</f>
        <v>209.47499999999997</v>
      </c>
      <c r="H38" s="95">
        <f t="shared" ref="H38:H55" si="13">H14*$H$34</f>
        <v>239.4</v>
      </c>
    </row>
    <row r="39" spans="1:8">
      <c r="A39" s="94" t="str">
        <f t="shared" si="5"/>
        <v>Turmeric</v>
      </c>
      <c r="B39" s="95">
        <f t="shared" si="6"/>
        <v>654.88499999999999</v>
      </c>
      <c r="C39" s="95">
        <f t="shared" si="8"/>
        <v>982.3275000000001</v>
      </c>
      <c r="D39" s="95">
        <f t="shared" si="9"/>
        <v>1309.7700000000002</v>
      </c>
      <c r="E39" s="95">
        <f t="shared" si="10"/>
        <v>1637.2125000000003</v>
      </c>
      <c r="F39" s="95">
        <f t="shared" si="11"/>
        <v>1964.6550000000002</v>
      </c>
      <c r="G39" s="95">
        <f t="shared" si="12"/>
        <v>2292.0975000000003</v>
      </c>
      <c r="H39" s="95">
        <f t="shared" si="13"/>
        <v>2619.54</v>
      </c>
    </row>
    <row r="40" spans="1:8">
      <c r="A40" s="94" t="str">
        <f t="shared" si="5"/>
        <v>Moong</v>
      </c>
      <c r="B40" s="95">
        <f t="shared" si="6"/>
        <v>43.659000000000006</v>
      </c>
      <c r="C40" s="95">
        <f t="shared" si="8"/>
        <v>65.488500000000016</v>
      </c>
      <c r="D40" s="95">
        <f t="shared" si="9"/>
        <v>87.318000000000012</v>
      </c>
      <c r="E40" s="95">
        <f t="shared" si="10"/>
        <v>109.14750000000001</v>
      </c>
      <c r="F40" s="95">
        <f t="shared" si="11"/>
        <v>130.977</v>
      </c>
      <c r="G40" s="95">
        <f t="shared" si="12"/>
        <v>152.8065</v>
      </c>
      <c r="H40" s="95">
        <f t="shared" si="13"/>
        <v>174.636</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49.896000000000001</v>
      </c>
      <c r="C42" s="95">
        <f t="shared" si="8"/>
        <v>74.844000000000008</v>
      </c>
      <c r="D42" s="95">
        <f t="shared" si="9"/>
        <v>99.792000000000002</v>
      </c>
      <c r="E42" s="95">
        <f t="shared" si="10"/>
        <v>124.74</v>
      </c>
      <c r="F42" s="95">
        <f t="shared" si="11"/>
        <v>149.68799999999999</v>
      </c>
      <c r="G42" s="95">
        <f t="shared" si="12"/>
        <v>174.636</v>
      </c>
      <c r="H42" s="95">
        <f t="shared" si="13"/>
        <v>199.58399999999997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61.110000000000007</v>
      </c>
      <c r="C44" s="95">
        <f t="shared" si="8"/>
        <v>91.665000000000006</v>
      </c>
      <c r="D44" s="95">
        <f t="shared" si="9"/>
        <v>122.22000000000001</v>
      </c>
      <c r="E44" s="95">
        <f t="shared" si="10"/>
        <v>152.77500000000001</v>
      </c>
      <c r="F44" s="95">
        <f t="shared" si="11"/>
        <v>183.32999999999998</v>
      </c>
      <c r="G44" s="95">
        <f t="shared" si="12"/>
        <v>213.88499999999999</v>
      </c>
      <c r="H44" s="95">
        <f t="shared" si="13"/>
        <v>244.43999999999997</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161.59500000000003</v>
      </c>
      <c r="C46" s="95">
        <f t="shared" si="8"/>
        <v>242.39250000000004</v>
      </c>
      <c r="D46" s="95">
        <f t="shared" si="9"/>
        <v>323.19000000000005</v>
      </c>
      <c r="E46" s="95">
        <f t="shared" si="10"/>
        <v>403.98750000000001</v>
      </c>
      <c r="F46" s="95">
        <f t="shared" si="11"/>
        <v>484.78499999999997</v>
      </c>
      <c r="G46" s="95">
        <f t="shared" si="12"/>
        <v>565.58249999999998</v>
      </c>
      <c r="H46" s="95">
        <f t="shared" si="13"/>
        <v>646.38</v>
      </c>
    </row>
    <row r="47" spans="1:8">
      <c r="A47" s="94" t="str">
        <f t="shared" si="5"/>
        <v>Channa</v>
      </c>
      <c r="B47" s="95">
        <f t="shared" si="6"/>
        <v>502.74</v>
      </c>
      <c r="C47" s="95">
        <f t="shared" si="8"/>
        <v>754.11000000000013</v>
      </c>
      <c r="D47" s="95">
        <f t="shared" si="9"/>
        <v>1005.48</v>
      </c>
      <c r="E47" s="95">
        <f t="shared" si="10"/>
        <v>1256.8500000000001</v>
      </c>
      <c r="F47" s="95">
        <f t="shared" si="11"/>
        <v>1508.22</v>
      </c>
      <c r="G47" s="95">
        <f t="shared" si="12"/>
        <v>1759.59</v>
      </c>
      <c r="H47" s="95">
        <f t="shared" si="13"/>
        <v>2010.9599999999998</v>
      </c>
    </row>
    <row r="48" spans="1:8">
      <c r="A48" s="94" t="str">
        <f t="shared" si="5"/>
        <v>Jawar</v>
      </c>
      <c r="B48" s="95">
        <f t="shared" si="6"/>
        <v>58.665600000000012</v>
      </c>
      <c r="C48" s="95">
        <f t="shared" si="8"/>
        <v>87.998400000000018</v>
      </c>
      <c r="D48" s="95">
        <f t="shared" si="9"/>
        <v>117.33120000000002</v>
      </c>
      <c r="E48" s="95">
        <f t="shared" si="10"/>
        <v>146.66400000000002</v>
      </c>
      <c r="F48" s="95">
        <f t="shared" si="11"/>
        <v>175.99680000000001</v>
      </c>
      <c r="G48" s="95">
        <f t="shared" si="12"/>
        <v>205.3296</v>
      </c>
      <c r="H48" s="95">
        <f t="shared" si="13"/>
        <v>234.66239999999999</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18.711000000000002</v>
      </c>
      <c r="C51" s="95">
        <f t="shared" si="8"/>
        <v>28.066500000000005</v>
      </c>
      <c r="D51" s="95">
        <f t="shared" si="9"/>
        <v>37.422000000000004</v>
      </c>
      <c r="E51" s="95">
        <f t="shared" si="10"/>
        <v>46.777500000000003</v>
      </c>
      <c r="F51" s="95">
        <f t="shared" si="11"/>
        <v>56.132999999999996</v>
      </c>
      <c r="G51" s="95">
        <f t="shared" si="12"/>
        <v>65.488500000000002</v>
      </c>
      <c r="H51" s="95">
        <f t="shared" si="13"/>
        <v>74.843999999999994</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2.4948000000000001</v>
      </c>
      <c r="C54" s="95">
        <f t="shared" si="8"/>
        <v>3.7422000000000013</v>
      </c>
      <c r="D54" s="95">
        <f t="shared" si="9"/>
        <v>4.9896000000000011</v>
      </c>
      <c r="E54" s="95">
        <f t="shared" si="10"/>
        <v>6.2370000000000019</v>
      </c>
      <c r="F54" s="95">
        <f t="shared" si="11"/>
        <v>7.4844000000000008</v>
      </c>
      <c r="G54" s="95">
        <f t="shared" si="12"/>
        <v>8.7317999999999998</v>
      </c>
      <c r="H54" s="95">
        <f t="shared" si="13"/>
        <v>9.9791999999999987</v>
      </c>
    </row>
    <row r="55" spans="1:8">
      <c r="A55" s="94" t="str">
        <f t="shared" si="5"/>
        <v>Paddy</v>
      </c>
      <c r="B55" s="95">
        <f t="shared" si="6"/>
        <v>1.8711000000000002</v>
      </c>
      <c r="C55" s="95">
        <f t="shared" si="8"/>
        <v>2.8066500000000003</v>
      </c>
      <c r="D55" s="95">
        <f t="shared" si="9"/>
        <v>3.7422000000000004</v>
      </c>
      <c r="E55" s="95">
        <f t="shared" si="10"/>
        <v>4.6777499999999996</v>
      </c>
      <c r="F55" s="95">
        <f t="shared" si="11"/>
        <v>5.6132999999999997</v>
      </c>
      <c r="G55" s="95">
        <f t="shared" si="12"/>
        <v>6.5488499999999998</v>
      </c>
      <c r="H55" s="95">
        <f t="shared" si="13"/>
        <v>7.4843999999999991</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465</v>
      </c>
      <c r="B63" s="190">
        <f>B38*80%</f>
        <v>47.88</v>
      </c>
      <c r="C63" s="190">
        <f t="shared" ref="C63:H63" si="14">C38*80%</f>
        <v>71.820000000000022</v>
      </c>
      <c r="D63" s="190">
        <f t="shared" si="14"/>
        <v>95.76</v>
      </c>
      <c r="E63" s="190">
        <f t="shared" si="14"/>
        <v>119.7</v>
      </c>
      <c r="F63" s="190">
        <f t="shared" si="14"/>
        <v>143.64000000000001</v>
      </c>
      <c r="G63" s="190">
        <f t="shared" si="14"/>
        <v>167.57999999999998</v>
      </c>
      <c r="H63" s="190">
        <f t="shared" si="14"/>
        <v>191.52</v>
      </c>
    </row>
    <row r="64" spans="1:8">
      <c r="A64" s="94" t="s">
        <v>140</v>
      </c>
      <c r="B64" s="190">
        <f>B38*20%</f>
        <v>11.97</v>
      </c>
      <c r="C64" s="190">
        <f t="shared" ref="C64:H64" si="15">C38*20%</f>
        <v>17.955000000000005</v>
      </c>
      <c r="D64" s="190">
        <f t="shared" si="15"/>
        <v>23.94</v>
      </c>
      <c r="E64" s="190">
        <f t="shared" si="15"/>
        <v>29.925000000000001</v>
      </c>
      <c r="F64" s="190">
        <f t="shared" si="15"/>
        <v>35.910000000000004</v>
      </c>
      <c r="G64" s="190">
        <f t="shared" si="15"/>
        <v>41.894999999999996</v>
      </c>
      <c r="H64" s="190">
        <f t="shared" si="15"/>
        <v>47.88</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465</v>
      </c>
      <c r="B70" s="95">
        <f>B40*80%</f>
        <v>34.927200000000006</v>
      </c>
      <c r="C70" s="95">
        <f t="shared" ref="C70:H70" si="16">C40*80%</f>
        <v>52.390800000000013</v>
      </c>
      <c r="D70" s="95">
        <f t="shared" si="16"/>
        <v>69.854400000000012</v>
      </c>
      <c r="E70" s="95">
        <f t="shared" si="16"/>
        <v>87.318000000000012</v>
      </c>
      <c r="F70" s="95">
        <f t="shared" si="16"/>
        <v>104.78160000000001</v>
      </c>
      <c r="G70" s="95">
        <f t="shared" si="16"/>
        <v>122.24520000000001</v>
      </c>
      <c r="H70" s="95">
        <f t="shared" si="16"/>
        <v>139.7088</v>
      </c>
    </row>
    <row r="71" spans="1:8">
      <c r="A71" s="94" t="s">
        <v>140</v>
      </c>
      <c r="B71" s="95">
        <f>B40*20%</f>
        <v>8.7318000000000016</v>
      </c>
      <c r="C71" s="95">
        <f t="shared" ref="C71:H71" si="17">C40*20%</f>
        <v>13.097700000000003</v>
      </c>
      <c r="D71" s="95">
        <f t="shared" si="17"/>
        <v>17.463600000000003</v>
      </c>
      <c r="E71" s="95">
        <f t="shared" si="17"/>
        <v>21.829500000000003</v>
      </c>
      <c r="F71" s="95">
        <f t="shared" si="17"/>
        <v>26.195400000000003</v>
      </c>
      <c r="G71" s="95">
        <f t="shared" si="17"/>
        <v>30.561300000000003</v>
      </c>
      <c r="H71" s="95">
        <f t="shared" si="17"/>
        <v>34.927199999999999</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465</v>
      </c>
      <c r="B78" s="95">
        <f t="shared" ref="B78:H78" si="18">B42*80%</f>
        <v>39.916800000000002</v>
      </c>
      <c r="C78" s="95">
        <f t="shared" si="18"/>
        <v>59.875200000000007</v>
      </c>
      <c r="D78" s="95">
        <f t="shared" si="18"/>
        <v>79.833600000000004</v>
      </c>
      <c r="E78" s="95">
        <f t="shared" si="18"/>
        <v>99.792000000000002</v>
      </c>
      <c r="F78" s="95">
        <f t="shared" si="18"/>
        <v>119.7504</v>
      </c>
      <c r="G78" s="95">
        <f t="shared" si="18"/>
        <v>139.7088</v>
      </c>
      <c r="H78" s="95">
        <f t="shared" si="18"/>
        <v>159.66719999999998</v>
      </c>
    </row>
    <row r="79" spans="1:8">
      <c r="A79" s="94" t="s">
        <v>140</v>
      </c>
      <c r="B79" s="95">
        <f t="shared" ref="B79:H79" si="19">B42*20%</f>
        <v>9.9792000000000005</v>
      </c>
      <c r="C79" s="95">
        <f t="shared" si="19"/>
        <v>14.968800000000002</v>
      </c>
      <c r="D79" s="95">
        <f t="shared" si="19"/>
        <v>19.958400000000001</v>
      </c>
      <c r="E79" s="95">
        <f t="shared" si="19"/>
        <v>24.948</v>
      </c>
      <c r="F79" s="95">
        <f t="shared" si="19"/>
        <v>29.9376</v>
      </c>
      <c r="G79" s="95">
        <f t="shared" si="19"/>
        <v>34.927199999999999</v>
      </c>
      <c r="H79" s="95">
        <f t="shared" si="19"/>
        <v>39.916799999999995</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465</v>
      </c>
      <c r="B95" s="95">
        <f t="shared" ref="B95:H95" si="20">B47*80%</f>
        <v>402.19200000000001</v>
      </c>
      <c r="C95" s="95">
        <f t="shared" si="20"/>
        <v>603.28800000000012</v>
      </c>
      <c r="D95" s="95">
        <f t="shared" si="20"/>
        <v>804.38400000000001</v>
      </c>
      <c r="E95" s="95">
        <f t="shared" si="20"/>
        <v>1005.4800000000001</v>
      </c>
      <c r="F95" s="95">
        <f t="shared" si="20"/>
        <v>1206.576</v>
      </c>
      <c r="G95" s="95">
        <f t="shared" si="20"/>
        <v>1407.672</v>
      </c>
      <c r="H95" s="95">
        <f t="shared" si="20"/>
        <v>1608.768</v>
      </c>
    </row>
    <row r="96" spans="1:8">
      <c r="A96" s="94" t="s">
        <v>140</v>
      </c>
      <c r="B96" s="95">
        <f t="shared" ref="B96:H96" si="21">B47*20%</f>
        <v>100.548</v>
      </c>
      <c r="C96" s="95">
        <f t="shared" si="21"/>
        <v>150.82200000000003</v>
      </c>
      <c r="D96" s="95">
        <f t="shared" si="21"/>
        <v>201.096</v>
      </c>
      <c r="E96" s="95">
        <f t="shared" si="21"/>
        <v>251.37000000000003</v>
      </c>
      <c r="F96" s="95">
        <f t="shared" si="21"/>
        <v>301.64400000000001</v>
      </c>
      <c r="G96" s="95">
        <f t="shared" si="21"/>
        <v>351.91800000000001</v>
      </c>
      <c r="H96" s="95">
        <f t="shared" si="21"/>
        <v>402.19200000000001</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Paddy</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451</v>
      </c>
      <c r="B124">
        <v>50</v>
      </c>
    </row>
    <row r="131" spans="1:10" ht="18.75">
      <c r="A131" s="413" t="s">
        <v>688</v>
      </c>
      <c r="B131" s="413"/>
      <c r="C131" s="413"/>
      <c r="D131" s="413"/>
      <c r="E131" s="413"/>
      <c r="F131" s="413"/>
      <c r="G131" s="413"/>
      <c r="H131" s="413"/>
      <c r="I131" s="413"/>
      <c r="J131" s="413"/>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695</v>
      </c>
      <c r="C139" s="229">
        <v>65</v>
      </c>
      <c r="D139" s="95">
        <f>(((B95*100)*(1-'5.Closing Stock &amp; W Capital'!$D$16))/$B$124)*$C$139*D133</f>
        <v>31370.975999999995</v>
      </c>
      <c r="E139" s="95">
        <f>E133*((((C95*100)*(1-'5.Closing Stock &amp; W Capital'!$D$16))+((B95*100)*'5.Closing Stock &amp; W Capital'!$D$16))/$B$124)*$C$139</f>
        <v>71368.970399999991</v>
      </c>
      <c r="F139" s="95">
        <f>F133*((((D95*100)*(1-'5.Closing Stock &amp; W Capital'!$D$16))+((C95*100)*'5.Closing Stock &amp; W Capital'!$D$16))/$B$124)*$C$139</f>
        <v>103759.50312000001</v>
      </c>
      <c r="G139" s="95">
        <f>G133*((((E95*100)*(1-'5.Closing Stock &amp; W Capital'!$D$16))+((D95*100)*'5.Closing Stock &amp; W Capital'!$D$16))/$B$124)*$C$139</f>
        <v>139210.66668600004</v>
      </c>
      <c r="H139" s="95">
        <f>H133*((((F95*100)*(1-'5.Closing Stock &amp; W Capital'!$D$16))+((E95*100)*'5.Closing Stock &amp; W Capital'!$D$16))/$B$124)*$C$139</f>
        <v>177947.54785080004</v>
      </c>
      <c r="I139" s="95">
        <f>I133*((((G95*100)*(1-'5.Closing Stock &amp; W Capital'!$D$16))+((F95*100)*'5.Closing Stock &amp; W Capital'!$D$16))/$B$124)*$C$139</f>
        <v>220210.09046536512</v>
      </c>
      <c r="J139" s="95">
        <f>J133*((((H95*100)*(1-'5.Closing Stock &amp; W Capital'!$D$16))+((G95*100)*'5.Closing Stock &amp; W Capital'!$D$16))/$B$124)*$C$139</f>
        <v>266254.01847175963</v>
      </c>
    </row>
    <row r="140" spans="1:10">
      <c r="A140" s="94" t="str">
        <f>+'12.Facility 1 - Trading'!A179</f>
        <v>Tur</v>
      </c>
      <c r="B140" s="229" t="s">
        <v>695</v>
      </c>
      <c r="C140" s="229">
        <v>65</v>
      </c>
      <c r="D140" s="95">
        <f>(((B63*100)*(1-'5.Closing Stock &amp; W Capital'!$D$16))/B124)*$C$140*D133</f>
        <v>3734.64</v>
      </c>
      <c r="E140" s="95">
        <f>((((C63*100)*(1-'5.Closing Stock &amp; W Capital'!$D$16))+((B63*100)*'5.Closing Stock &amp; W Capital'!$D$16))/$B$124)*$C$140*E133</f>
        <v>8496.3060000000023</v>
      </c>
      <c r="F140" s="95">
        <f>((((D63*100)*(1-'5.Closing Stock &amp; W Capital'!$D$16))+((C63*100)*'5.Closing Stock &amp; W Capital'!$D$16))/$B$124)*$C$140*F133</f>
        <v>12352.321800000003</v>
      </c>
      <c r="G140" s="95">
        <f>((((E63*100)*(1-'5.Closing Stock &amp; W Capital'!$D$16))+((D63*100)*'5.Closing Stock &amp; W Capital'!$D$16))/$B$124)*$C$140*G133</f>
        <v>16572.698414999999</v>
      </c>
      <c r="H140" s="95">
        <f>((((F63*100)*(1-'5.Closing Stock &amp; W Capital'!$D$16))+((E63*100)*'5.Closing Stock &amp; W Capital'!$D$16))/$B$124)*$C$140*H133</f>
        <v>21184.231887000009</v>
      </c>
      <c r="I140" s="95">
        <f>((((G63*100)*(1-'5.Closing Stock &amp; W Capital'!$D$16))+((F63*100)*'5.Closing Stock &amp; W Capital'!$D$16))/$B$124)*$C$140*I133</f>
        <v>26215.486960162514</v>
      </c>
      <c r="J140" s="95">
        <f>((((H63*100)*(1-'5.Closing Stock &amp; W Capital'!$D$16))+((G63*100)*'5.Closing Stock &amp; W Capital'!$D$16))/$B$124)*$C$140*J133</f>
        <v>31696.906960923763</v>
      </c>
    </row>
    <row r="141" spans="1:10">
      <c r="A141" s="94" t="str">
        <f>+'12.Facility 1 - Trading'!A180</f>
        <v>Turmeric</v>
      </c>
      <c r="B141" s="229" t="s">
        <v>695</v>
      </c>
      <c r="C141" s="229">
        <v>100</v>
      </c>
      <c r="D141" s="95">
        <f>(((B78*100)*(1-'5.Closing Stock &amp; W Capital'!D16))/$B$124)*$C$141*D133</f>
        <v>4790.0160000000005</v>
      </c>
      <c r="E141" s="95">
        <f>((((C78*100)*(1-'5.Closing Stock &amp; W Capital'!$D$16))+((B78*100)*'5.Closing Stock &amp; W Capital'!$D$16))/$B$124)*$C$141*E133</f>
        <v>10897.286400000001</v>
      </c>
      <c r="F141" s="95">
        <f>((((D78*100)*(1-'5.Closing Stock &amp; W Capital'!$D$16))+((C78*100)*'5.Closing Stock &amp; W Capital'!$D$16))/$B$124)*$C$141*F133</f>
        <v>15842.977920000003</v>
      </c>
      <c r="G141" s="95">
        <f>((((E78*100)*(1-'5.Closing Stock &amp; W Capital'!$D$16))+((D78*100)*'5.Closing Stock &amp; W Capital'!$D$16))/$B$124)*$C$141*G133</f>
        <v>21255.995376000006</v>
      </c>
      <c r="H141" s="95">
        <f>((((F78*100)*(1-'5.Closing Stock &amp; W Capital'!$D$16))+((E78*100)*'5.Closing Stock &amp; W Capital'!$D$16))/$B$124)*$C$141*H133</f>
        <v>27170.707132800006</v>
      </c>
      <c r="I141" s="95">
        <f>((((G78*100)*(1-'5.Closing Stock &amp; W Capital'!$D$16))+((F78*100)*'5.Closing Stock &amp; W Capital'!$D$16))/$B$124)*$C$141*I133</f>
        <v>33623.750076840006</v>
      </c>
      <c r="J141" s="95">
        <f>((((H78*100)*(1-'5.Closing Stock &amp; W Capital'!$D$16))+((G78*100)*'5.Closing Stock &amp; W Capital'!$D$16))/$B$124)*$C$141*J133</f>
        <v>40654.170547452006</v>
      </c>
    </row>
    <row r="142" spans="1:10">
      <c r="A142" s="94" t="str">
        <f>+'12.Facility 1 - Trading'!A181</f>
        <v>Moong</v>
      </c>
      <c r="B142" s="229" t="s">
        <v>695</v>
      </c>
      <c r="C142" s="229">
        <v>65</v>
      </c>
      <c r="D142" s="95">
        <f>(((B70*100)*(1-'5.Closing Stock &amp; W Capital'!D16))/B124)*$C$142*D133</f>
        <v>2724.3216000000007</v>
      </c>
      <c r="E142" s="95">
        <f>((((C70*100)*(1-'5.Closing Stock &amp; W Capital'!$D$16))+((B70*100)*'5.Closing Stock &amp; W Capital'!$D$16))/$B$124)*$C$142*E133</f>
        <v>6197.8316400000022</v>
      </c>
      <c r="F142" s="95">
        <f>((((D70*100)*(1-'5.Closing Stock &amp; W Capital'!$D$16))+((C70*100)*'5.Closing Stock &amp; W Capital'!$D$16))/$B$124)*$C$142*F133</f>
        <v>9010.6936920000044</v>
      </c>
      <c r="G142" s="95">
        <f>((((E70*100)*(1-'5.Closing Stock &amp; W Capital'!$D$16))+((D70*100)*'5.Closing Stock &amp; W Capital'!$D$16))/$B$124)*$C$142*G133</f>
        <v>12089.347370100004</v>
      </c>
      <c r="H142" s="95">
        <f>((((F70*100)*(1-'5.Closing Stock &amp; W Capital'!$D$16))+((E70*100)*'5.Closing Stock &amp; W Capital'!$D$16))/$B$124)*$C$142*H133</f>
        <v>15453.339681780006</v>
      </c>
      <c r="I142" s="95">
        <f>((((G70*100)*(1-'5.Closing Stock &amp; W Capital'!$D$16))+((F70*100)*'5.Closing Stock &amp; W Capital'!$D$16))/$B$124)*$C$142*I133</f>
        <v>19123.507856202759</v>
      </c>
      <c r="J142" s="95">
        <f>((((H70*100)*(1-'5.Closing Stock &amp; W Capital'!$D$16))+((G70*100)*'5.Closing Stock &amp; W Capital'!$D$16))/$B$124)*$C$142*J133</f>
        <v>23122.059498863331</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524916</v>
      </c>
      <c r="E147" s="95">
        <f t="shared" si="23"/>
        <v>826742.70000000019</v>
      </c>
      <c r="F147" s="95">
        <f t="shared" si="23"/>
        <v>1157439.78</v>
      </c>
      <c r="G147" s="95">
        <f t="shared" si="23"/>
        <v>1519139.7112500002</v>
      </c>
      <c r="H147" s="95">
        <f t="shared" si="23"/>
        <v>1914116.0361750007</v>
      </c>
      <c r="I147" s="95">
        <f t="shared" si="23"/>
        <v>2344792.1443143752</v>
      </c>
      <c r="J147" s="95">
        <f t="shared" si="23"/>
        <v>2813750.5731772501</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89748.75</v>
      </c>
      <c r="E149" s="95">
        <f t="shared" si="24"/>
        <v>141354.28125000003</v>
      </c>
      <c r="F149" s="95">
        <f t="shared" si="24"/>
        <v>197895.99374999999</v>
      </c>
      <c r="G149" s="95">
        <f t="shared" si="24"/>
        <v>259738.49179687505</v>
      </c>
      <c r="H149" s="95">
        <f t="shared" si="24"/>
        <v>327270.49966406263</v>
      </c>
      <c r="I149" s="95">
        <f t="shared" si="24"/>
        <v>400906.36208847666</v>
      </c>
      <c r="J149" s="95">
        <f t="shared" si="24"/>
        <v>481087.63450617192</v>
      </c>
    </row>
    <row r="150" spans="1:11">
      <c r="A150" s="94"/>
      <c r="B150" s="94"/>
      <c r="C150" s="94"/>
      <c r="D150" s="95"/>
      <c r="E150" s="95"/>
      <c r="F150" s="95"/>
      <c r="G150" s="95"/>
      <c r="H150" s="95"/>
      <c r="I150" s="95"/>
      <c r="J150" s="95"/>
    </row>
    <row r="151" spans="1:11">
      <c r="A151" s="96" t="s">
        <v>127</v>
      </c>
      <c r="B151" s="96"/>
      <c r="C151" s="96"/>
      <c r="D151" s="114">
        <f>SUM(D139:D149)</f>
        <v>657284.70360000001</v>
      </c>
      <c r="E151" s="114">
        <f t="shared" ref="E151:J151" si="25">SUM(E139:E149)</f>
        <v>1065057.3756900001</v>
      </c>
      <c r="F151" s="114">
        <f t="shared" si="25"/>
        <v>1496301.2702819998</v>
      </c>
      <c r="G151" s="114">
        <f t="shared" si="25"/>
        <v>1968006.9108939753</v>
      </c>
      <c r="H151" s="114">
        <f t="shared" si="25"/>
        <v>2483142.3623914435</v>
      </c>
      <c r="I151" s="114">
        <f t="shared" si="25"/>
        <v>3044871.3417614223</v>
      </c>
      <c r="J151" s="114">
        <f t="shared" si="25"/>
        <v>3656565.3631624207</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695</v>
      </c>
      <c r="C155" s="247">
        <v>20</v>
      </c>
      <c r="D155" s="95">
        <f t="shared" ref="D155:J155" si="26">(B47)*$C$155*D133</f>
        <v>10054.799999999999</v>
      </c>
      <c r="E155" s="95">
        <f t="shared" si="26"/>
        <v>15836.310000000003</v>
      </c>
      <c r="F155" s="95">
        <f t="shared" si="26"/>
        <v>22170.833999999999</v>
      </c>
      <c r="G155" s="95">
        <f t="shared" si="26"/>
        <v>29099.219625000009</v>
      </c>
      <c r="H155" s="95">
        <f t="shared" si="26"/>
        <v>36665.016727500006</v>
      </c>
      <c r="I155" s="95">
        <f t="shared" si="26"/>
        <v>44914.645491187504</v>
      </c>
      <c r="J155" s="95">
        <f t="shared" si="26"/>
        <v>53897.574589425014</v>
      </c>
    </row>
    <row r="156" spans="1:11">
      <c r="A156" s="94" t="str">
        <f>+A140</f>
        <v>Tur</v>
      </c>
      <c r="B156" s="229" t="s">
        <v>695</v>
      </c>
      <c r="C156" s="247">
        <v>20</v>
      </c>
      <c r="D156" s="95">
        <f t="shared" ref="D156:J156" si="27">(B38)*$C$156*D133</f>
        <v>1197</v>
      </c>
      <c r="E156" s="95">
        <f t="shared" si="27"/>
        <v>1885.2750000000005</v>
      </c>
      <c r="F156" s="95">
        <f t="shared" si="27"/>
        <v>2639.3850000000002</v>
      </c>
      <c r="G156" s="95">
        <f t="shared" si="27"/>
        <v>3464.1928125000004</v>
      </c>
      <c r="H156" s="95">
        <f t="shared" si="27"/>
        <v>4364.8829437500008</v>
      </c>
      <c r="I156" s="95">
        <f t="shared" si="27"/>
        <v>5346.9816060937501</v>
      </c>
      <c r="J156" s="95">
        <f t="shared" si="27"/>
        <v>6416.3779273125019</v>
      </c>
    </row>
    <row r="157" spans="1:11">
      <c r="A157" s="94" t="str">
        <f>+A141</f>
        <v>Turmeric</v>
      </c>
      <c r="B157" s="229" t="s">
        <v>695</v>
      </c>
      <c r="C157" s="247">
        <v>35</v>
      </c>
      <c r="D157" s="95">
        <f t="shared" ref="D157:J157" si="28">(B42)*$C$157*D133</f>
        <v>1746.3600000000001</v>
      </c>
      <c r="E157" s="95">
        <f t="shared" si="28"/>
        <v>2750.5170000000007</v>
      </c>
      <c r="F157" s="95">
        <f t="shared" si="28"/>
        <v>3850.7238000000002</v>
      </c>
      <c r="G157" s="95">
        <f t="shared" si="28"/>
        <v>5054.0749875000001</v>
      </c>
      <c r="H157" s="95">
        <f t="shared" si="28"/>
        <v>6368.1344842500012</v>
      </c>
      <c r="I157" s="95">
        <f t="shared" si="28"/>
        <v>7800.964743206252</v>
      </c>
      <c r="J157" s="95">
        <f t="shared" si="28"/>
        <v>9361.1576918475021</v>
      </c>
    </row>
    <row r="158" spans="1:11">
      <c r="A158" s="94" t="str">
        <f>+A142</f>
        <v>Moong</v>
      </c>
      <c r="B158" s="229" t="s">
        <v>695</v>
      </c>
      <c r="C158" s="247">
        <v>30</v>
      </c>
      <c r="D158" s="95">
        <f t="shared" ref="D158:J158" si="29">(B40)*$C$158*D133</f>
        <v>1309.7700000000002</v>
      </c>
      <c r="E158" s="95">
        <f t="shared" si="29"/>
        <v>2062.8877500000003</v>
      </c>
      <c r="F158" s="95">
        <f t="shared" si="29"/>
        <v>2888.0428500000007</v>
      </c>
      <c r="G158" s="95">
        <f t="shared" si="29"/>
        <v>3790.5562406250006</v>
      </c>
      <c r="H158" s="95">
        <f t="shared" si="29"/>
        <v>4776.1008631875011</v>
      </c>
      <c r="I158" s="95">
        <f t="shared" si="29"/>
        <v>5850.723557404689</v>
      </c>
      <c r="J158" s="95">
        <f t="shared" si="29"/>
        <v>7020.868268885627</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39265.078124999993</v>
      </c>
      <c r="E160" s="95">
        <f t="shared" si="31"/>
        <v>61842.498046875007</v>
      </c>
      <c r="F160" s="95">
        <f t="shared" si="31"/>
        <v>86579.497265624988</v>
      </c>
      <c r="G160" s="95">
        <f t="shared" si="31"/>
        <v>113635.59016113284</v>
      </c>
      <c r="H160" s="95">
        <f t="shared" si="31"/>
        <v>143180.8436030274</v>
      </c>
      <c r="I160" s="95">
        <f t="shared" si="31"/>
        <v>175396.53341370856</v>
      </c>
      <c r="J160" s="95">
        <f t="shared" si="31"/>
        <v>210475.84009645024</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3589.95</v>
      </c>
      <c r="E162" s="95">
        <f t="shared" si="33"/>
        <v>5654.1712500000012</v>
      </c>
      <c r="F162" s="95">
        <f t="shared" si="33"/>
        <v>7915.8397500000001</v>
      </c>
      <c r="G162" s="95">
        <f t="shared" si="33"/>
        <v>10389.539671875003</v>
      </c>
      <c r="H162" s="95">
        <f t="shared" si="33"/>
        <v>13090.819986562505</v>
      </c>
      <c r="I162" s="95">
        <f t="shared" si="33"/>
        <v>16036.254483539067</v>
      </c>
      <c r="J162" s="95">
        <f t="shared" si="33"/>
        <v>19243.505380246879</v>
      </c>
    </row>
    <row r="163" spans="1:10">
      <c r="A163" s="108" t="s">
        <v>296</v>
      </c>
      <c r="B163" s="108">
        <v>5</v>
      </c>
      <c r="C163" s="248">
        <v>20</v>
      </c>
      <c r="D163" s="95">
        <f t="shared" ref="D163:J163" si="34">(((B78+B69+B95+B63)*100)/50)*$C$163*D133</f>
        <v>19599.552</v>
      </c>
      <c r="E163" s="95">
        <f t="shared" si="34"/>
        <v>30869.29440000001</v>
      </c>
      <c r="F163" s="95">
        <f t="shared" si="34"/>
        <v>43217.012159999998</v>
      </c>
      <c r="G163" s="95">
        <f t="shared" si="34"/>
        <v>56722.328460000012</v>
      </c>
      <c r="H163" s="95">
        <f t="shared" si="34"/>
        <v>71470.133859600028</v>
      </c>
      <c r="I163" s="95">
        <f t="shared" si="34"/>
        <v>87550.913978010023</v>
      </c>
      <c r="J163" s="95">
        <f t="shared" si="34"/>
        <v>105061.09677361204</v>
      </c>
    </row>
    <row r="164" spans="1:10">
      <c r="A164" s="94" t="s">
        <v>297</v>
      </c>
      <c r="B164" s="94">
        <v>5</v>
      </c>
      <c r="C164" s="229">
        <v>20</v>
      </c>
      <c r="D164" s="95">
        <f t="shared" ref="D164:J164" si="35">(((B78+B69+B95+B63)*100)/50)*$C$164*D133</f>
        <v>19599.552</v>
      </c>
      <c r="E164" s="95">
        <f t="shared" si="35"/>
        <v>30869.29440000001</v>
      </c>
      <c r="F164" s="95">
        <f t="shared" si="35"/>
        <v>43217.012159999998</v>
      </c>
      <c r="G164" s="95">
        <f t="shared" si="35"/>
        <v>56722.328460000012</v>
      </c>
      <c r="H164" s="95">
        <f t="shared" si="35"/>
        <v>71470.133859600028</v>
      </c>
      <c r="I164" s="95">
        <f t="shared" si="35"/>
        <v>87550.913978010023</v>
      </c>
      <c r="J164" s="95">
        <f t="shared" si="35"/>
        <v>105061.09677361204</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30705.004049999996</v>
      </c>
      <c r="F169" s="95">
        <f>'5.Closing Stock &amp; W Capital'!G7</f>
        <v>48360.381378750011</v>
      </c>
      <c r="G169" s="95">
        <f>'5.Closing Stock &amp; W Capital'!H7</f>
        <v>67704.533930250007</v>
      </c>
      <c r="H169" s="95">
        <f>'5.Closing Stock &amp; W Capital'!I7</f>
        <v>88862.200783453169</v>
      </c>
      <c r="I169" s="95">
        <f>'5.Closing Stock &amp; W Capital'!J7</f>
        <v>111966.37298715099</v>
      </c>
      <c r="J169" s="95">
        <f>'5.Closing Stock &amp; W Capital'!K7</f>
        <v>137158.80690925996</v>
      </c>
    </row>
    <row r="170" spans="1:10">
      <c r="A170" s="194" t="s">
        <v>342</v>
      </c>
      <c r="B170" s="95"/>
      <c r="C170" s="95"/>
      <c r="D170" s="95">
        <f>'5.Closing Stock &amp; W Capital'!E16</f>
        <v>30705.004049999996</v>
      </c>
      <c r="E170" s="95">
        <f>'5.Closing Stock &amp; W Capital'!F16</f>
        <v>48360.381378750011</v>
      </c>
      <c r="F170" s="95">
        <f>'5.Closing Stock &amp; W Capital'!G16</f>
        <v>67704.533930250007</v>
      </c>
      <c r="G170" s="95">
        <f>'5.Closing Stock &amp; W Capital'!H16</f>
        <v>88862.200783453169</v>
      </c>
      <c r="H170" s="95">
        <f>'5.Closing Stock &amp; W Capital'!I16</f>
        <v>111966.37298715099</v>
      </c>
      <c r="I170" s="95">
        <f>'5.Closing Stock &amp; W Capital'!J16</f>
        <v>137158.80690925996</v>
      </c>
      <c r="J170" s="95">
        <f>'5.Closing Stock &amp; W Capital'!K16</f>
        <v>164590.56829111194</v>
      </c>
    </row>
    <row r="171" spans="1:10">
      <c r="A171" s="95"/>
      <c r="B171" s="95"/>
      <c r="C171" s="95"/>
      <c r="D171" s="95"/>
      <c r="E171" s="95"/>
      <c r="F171" s="95"/>
      <c r="G171" s="95"/>
      <c r="H171" s="95"/>
      <c r="I171" s="95"/>
      <c r="J171" s="95"/>
    </row>
    <row r="172" spans="1:10">
      <c r="A172" s="114" t="s">
        <v>319</v>
      </c>
      <c r="B172" s="95"/>
      <c r="C172" s="95"/>
      <c r="D172" s="114">
        <f>SUM(D155:D169)-D170</f>
        <v>65657.058074999979</v>
      </c>
      <c r="E172" s="114">
        <f>SUM(E155:E169)-E170</f>
        <v>134114.87051812501</v>
      </c>
      <c r="F172" s="114">
        <f t="shared" ref="F172:J172" si="36">SUM(F155:F169)-F170</f>
        <v>193134.19443412501</v>
      </c>
      <c r="G172" s="114">
        <f t="shared" si="36"/>
        <v>257720.16356542974</v>
      </c>
      <c r="H172" s="114">
        <f t="shared" si="36"/>
        <v>328281.89412377967</v>
      </c>
      <c r="I172" s="114">
        <f t="shared" si="36"/>
        <v>405255.49732905091</v>
      </c>
      <c r="J172" s="114">
        <f t="shared" si="36"/>
        <v>489105.75611953984</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185657.05807499998</v>
      </c>
      <c r="E181" s="114">
        <f t="shared" si="39"/>
        <v>260114.87051812501</v>
      </c>
      <c r="F181" s="114">
        <f t="shared" si="39"/>
        <v>325434.19443412498</v>
      </c>
      <c r="G181" s="114">
        <f t="shared" si="39"/>
        <v>396635.16356542974</v>
      </c>
      <c r="H181" s="114">
        <f t="shared" si="39"/>
        <v>474142.64412377973</v>
      </c>
      <c r="I181" s="114">
        <f t="shared" si="39"/>
        <v>558409.284829051</v>
      </c>
      <c r="J181" s="114">
        <f t="shared" si="39"/>
        <v>649917.2329945399</v>
      </c>
    </row>
    <row r="182" spans="1:10">
      <c r="A182" s="94"/>
      <c r="B182" s="94"/>
      <c r="C182" s="94"/>
      <c r="D182" s="95"/>
      <c r="E182" s="95"/>
      <c r="F182" s="95"/>
      <c r="G182" s="95"/>
      <c r="H182" s="95"/>
      <c r="I182" s="95"/>
      <c r="J182" s="95"/>
    </row>
    <row r="183" spans="1:10">
      <c r="A183" s="96" t="s">
        <v>7</v>
      </c>
      <c r="B183" s="96"/>
      <c r="C183" s="96"/>
      <c r="D183" s="114">
        <f t="shared" ref="D183:J183" si="40">D151-D181</f>
        <v>471627.64552500006</v>
      </c>
      <c r="E183" s="114">
        <f t="shared" si="40"/>
        <v>804942.50517187512</v>
      </c>
      <c r="F183" s="114">
        <f t="shared" si="40"/>
        <v>1170867.0758478749</v>
      </c>
      <c r="G183" s="114">
        <f t="shared" si="40"/>
        <v>1571371.7473285454</v>
      </c>
      <c r="H183" s="114">
        <f t="shared" si="40"/>
        <v>2008999.7182676638</v>
      </c>
      <c r="I183" s="114">
        <f t="shared" si="40"/>
        <v>2486462.0569323711</v>
      </c>
      <c r="J183" s="114">
        <f t="shared" si="40"/>
        <v>3006648.130167881</v>
      </c>
    </row>
    <row r="184" spans="1:10">
      <c r="A184" s="115"/>
      <c r="B184" s="115"/>
      <c r="C184" s="115"/>
      <c r="D184" s="93"/>
      <c r="E184" s="93"/>
      <c r="F184" s="93"/>
      <c r="G184" s="93"/>
      <c r="H184" s="93"/>
      <c r="I184" s="93"/>
      <c r="J184" s="93"/>
    </row>
    <row r="185" spans="1:10">
      <c r="A185" s="414" t="s">
        <v>422</v>
      </c>
      <c r="B185" s="414"/>
      <c r="C185" s="414"/>
      <c r="D185" s="414"/>
      <c r="E185" s="414"/>
      <c r="F185" s="414"/>
      <c r="G185" s="414"/>
      <c r="H185" s="414"/>
      <c r="I185" s="414"/>
      <c r="J185" s="414"/>
    </row>
    <row r="187" spans="1:10">
      <c r="A187" t="s">
        <v>535</v>
      </c>
    </row>
    <row r="188" spans="1:10">
      <c r="A188">
        <v>1</v>
      </c>
      <c r="B188" t="s">
        <v>546</v>
      </c>
    </row>
    <row r="189" spans="1:10">
      <c r="A189">
        <v>2</v>
      </c>
      <c r="B189" t="s">
        <v>547</v>
      </c>
    </row>
    <row r="190" spans="1:10">
      <c r="A190">
        <v>3</v>
      </c>
      <c r="B190" s="93" t="s">
        <v>587</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16" zoomScale="80" zoomScaleSheetLayoutView="80" workbookViewId="0">
      <selection activeCell="C63" sqref="C63"/>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5" t="s">
        <v>574</v>
      </c>
      <c r="B2" s="485"/>
      <c r="C2" s="485"/>
      <c r="D2" s="485"/>
      <c r="E2" s="485"/>
      <c r="F2" s="485"/>
      <c r="G2" s="485"/>
      <c r="H2" s="485"/>
    </row>
    <row r="3" spans="1:10" ht="18.75">
      <c r="A3" s="485" t="s">
        <v>575</v>
      </c>
      <c r="B3" s="485"/>
      <c r="C3" s="485"/>
      <c r="D3" s="485"/>
      <c r="E3" s="485"/>
      <c r="F3" s="485"/>
      <c r="G3" s="485"/>
      <c r="H3" s="485"/>
    </row>
    <row r="4" spans="1:10">
      <c r="A4" s="186" t="s">
        <v>159</v>
      </c>
      <c r="B4" s="251">
        <v>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0</v>
      </c>
      <c r="C10" s="190">
        <f t="shared" si="0"/>
        <v>0</v>
      </c>
      <c r="D10" s="190">
        <f t="shared" si="0"/>
        <v>0</v>
      </c>
      <c r="E10" s="190">
        <f t="shared" si="0"/>
        <v>0</v>
      </c>
      <c r="F10" s="190">
        <f t="shared" si="0"/>
        <v>0</v>
      </c>
      <c r="G10" s="190">
        <f t="shared" si="0"/>
        <v>0</v>
      </c>
      <c r="H10" s="190">
        <f t="shared" si="0"/>
        <v>0</v>
      </c>
    </row>
    <row r="15" spans="1:10" ht="18.75">
      <c r="A15" s="413" t="s">
        <v>576</v>
      </c>
      <c r="B15" s="413"/>
      <c r="C15" s="413"/>
      <c r="D15" s="413"/>
      <c r="E15" s="413"/>
      <c r="F15" s="413"/>
      <c r="G15" s="413"/>
      <c r="H15" s="413"/>
      <c r="I15" s="413"/>
      <c r="J15" s="413"/>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200</v>
      </c>
      <c r="D21" s="95">
        <f t="shared" ref="D21:J21" si="2">B10*$C$21*D17</f>
        <v>0</v>
      </c>
      <c r="E21" s="95">
        <f t="shared" si="2"/>
        <v>0</v>
      </c>
      <c r="F21" s="95">
        <f t="shared" si="2"/>
        <v>0</v>
      </c>
      <c r="G21" s="95">
        <f t="shared" si="2"/>
        <v>0</v>
      </c>
      <c r="H21" s="95">
        <f t="shared" si="2"/>
        <v>0</v>
      </c>
      <c r="I21" s="95">
        <f t="shared" si="2"/>
        <v>0</v>
      </c>
      <c r="J21" s="95">
        <f t="shared" si="2"/>
        <v>0</v>
      </c>
    </row>
    <row r="22" spans="1:10">
      <c r="A22" s="94"/>
      <c r="B22" s="94"/>
      <c r="C22" s="95"/>
      <c r="D22" s="95"/>
      <c r="E22" s="95"/>
      <c r="F22" s="95"/>
      <c r="G22" s="95"/>
      <c r="H22" s="95"/>
      <c r="I22" s="95"/>
      <c r="J22" s="95"/>
    </row>
    <row r="23" spans="1:10">
      <c r="A23" s="96" t="s">
        <v>142</v>
      </c>
      <c r="B23" s="96"/>
      <c r="C23" s="114"/>
      <c r="D23" s="95">
        <f t="shared" ref="D23:J23" si="3">SUM(D21:D21)</f>
        <v>0</v>
      </c>
      <c r="E23" s="95">
        <f t="shared" si="3"/>
        <v>0</v>
      </c>
      <c r="F23" s="95">
        <f t="shared" si="3"/>
        <v>0</v>
      </c>
      <c r="G23" s="95">
        <f t="shared" si="3"/>
        <v>0</v>
      </c>
      <c r="H23" s="95">
        <f t="shared" si="3"/>
        <v>0</v>
      </c>
      <c r="I23" s="95">
        <f t="shared" si="3"/>
        <v>0</v>
      </c>
      <c r="J23" s="95">
        <f t="shared" si="3"/>
        <v>0</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0</v>
      </c>
      <c r="E27" s="95">
        <f t="shared" si="4"/>
        <v>0</v>
      </c>
      <c r="F27" s="95">
        <f t="shared" si="4"/>
        <v>0</v>
      </c>
      <c r="G27" s="95">
        <f t="shared" si="4"/>
        <v>0</v>
      </c>
      <c r="H27" s="95">
        <f t="shared" si="4"/>
        <v>0</v>
      </c>
      <c r="I27" s="95">
        <f t="shared" si="4"/>
        <v>0</v>
      </c>
      <c r="J27" s="95">
        <f t="shared" si="4"/>
        <v>0</v>
      </c>
    </row>
    <row r="28" spans="1:10">
      <c r="A28" s="94" t="s">
        <v>304</v>
      </c>
      <c r="B28" s="229" t="s">
        <v>299</v>
      </c>
      <c r="C28" s="247">
        <v>10</v>
      </c>
      <c r="D28" s="95">
        <f t="shared" ref="D28:J28" si="5">$B$4*$C$28*D17*12</f>
        <v>0</v>
      </c>
      <c r="E28" s="95">
        <f t="shared" si="5"/>
        <v>0</v>
      </c>
      <c r="F28" s="95">
        <f t="shared" si="5"/>
        <v>0</v>
      </c>
      <c r="G28" s="95">
        <f t="shared" si="5"/>
        <v>0</v>
      </c>
      <c r="H28" s="95">
        <f t="shared" si="5"/>
        <v>0</v>
      </c>
      <c r="I28" s="95">
        <f t="shared" si="5"/>
        <v>0</v>
      </c>
      <c r="J28" s="95">
        <f t="shared" si="5"/>
        <v>0</v>
      </c>
    </row>
    <row r="29" spans="1:10">
      <c r="A29" s="94" t="s">
        <v>305</v>
      </c>
      <c r="B29" s="229"/>
      <c r="C29" s="247">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0</v>
      </c>
      <c r="E34" s="114">
        <f t="shared" ref="E34:J34" si="7">SUM(E27:E33)</f>
        <v>0</v>
      </c>
      <c r="F34" s="114">
        <f t="shared" si="7"/>
        <v>0</v>
      </c>
      <c r="G34" s="114">
        <f t="shared" si="7"/>
        <v>0</v>
      </c>
      <c r="H34" s="114">
        <f t="shared" si="7"/>
        <v>0</v>
      </c>
      <c r="I34" s="114">
        <f t="shared" si="7"/>
        <v>0</v>
      </c>
      <c r="J34" s="114">
        <f t="shared" si="7"/>
        <v>0</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0</v>
      </c>
      <c r="D37" s="95">
        <f>$B$37*$C$37*D17*12</f>
        <v>0</v>
      </c>
      <c r="E37" s="95">
        <f t="shared" ref="E37:J37" si="8">$B$37*$C$37*E17*12</f>
        <v>0</v>
      </c>
      <c r="F37" s="95">
        <f t="shared" si="8"/>
        <v>0</v>
      </c>
      <c r="G37" s="95">
        <f t="shared" si="8"/>
        <v>0</v>
      </c>
      <c r="H37" s="95">
        <f t="shared" si="8"/>
        <v>0</v>
      </c>
      <c r="I37" s="95">
        <f t="shared" si="8"/>
        <v>0</v>
      </c>
      <c r="J37" s="95">
        <f t="shared" si="8"/>
        <v>0</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0</v>
      </c>
      <c r="E43" s="114">
        <f t="shared" ref="E43:J43" si="9">SUM(E37:E42)</f>
        <v>0</v>
      </c>
      <c r="F43" s="114">
        <f t="shared" si="9"/>
        <v>0</v>
      </c>
      <c r="G43" s="114">
        <f t="shared" si="9"/>
        <v>0</v>
      </c>
      <c r="H43" s="114">
        <f t="shared" si="9"/>
        <v>0</v>
      </c>
      <c r="I43" s="114">
        <f t="shared" si="9"/>
        <v>0</v>
      </c>
      <c r="J43" s="114">
        <f t="shared" si="9"/>
        <v>0</v>
      </c>
    </row>
    <row r="44" spans="1:10">
      <c r="A44" s="96"/>
      <c r="B44" s="96"/>
      <c r="C44" s="114"/>
      <c r="D44" s="114"/>
      <c r="E44" s="114"/>
      <c r="F44" s="114"/>
      <c r="G44" s="114"/>
      <c r="H44" s="114"/>
      <c r="I44" s="114"/>
      <c r="J44" s="114"/>
    </row>
    <row r="45" spans="1:10">
      <c r="A45" s="96" t="s">
        <v>129</v>
      </c>
      <c r="B45" s="96"/>
      <c r="C45" s="114"/>
      <c r="D45" s="114">
        <f>D34+D43</f>
        <v>0</v>
      </c>
      <c r="E45" s="114">
        <f t="shared" ref="E45:J45" si="10">E34+E43</f>
        <v>0</v>
      </c>
      <c r="F45" s="114">
        <f t="shared" si="10"/>
        <v>0</v>
      </c>
      <c r="G45" s="114">
        <f t="shared" si="10"/>
        <v>0</v>
      </c>
      <c r="H45" s="114">
        <f t="shared" si="10"/>
        <v>0</v>
      </c>
      <c r="I45" s="114">
        <f t="shared" si="10"/>
        <v>0</v>
      </c>
      <c r="J45" s="114">
        <f t="shared" si="10"/>
        <v>0</v>
      </c>
    </row>
    <row r="46" spans="1:10">
      <c r="A46" s="94"/>
      <c r="B46" s="94"/>
      <c r="C46" s="95"/>
      <c r="D46" s="95"/>
      <c r="E46" s="95"/>
      <c r="F46" s="95"/>
      <c r="G46" s="95"/>
      <c r="H46" s="95"/>
      <c r="I46" s="95"/>
      <c r="J46" s="95"/>
    </row>
    <row r="47" spans="1:10">
      <c r="A47" s="96" t="s">
        <v>686</v>
      </c>
      <c r="B47" s="96"/>
      <c r="C47" s="114"/>
      <c r="D47" s="114">
        <f t="shared" ref="D47:J47" si="11">D23-D45</f>
        <v>0</v>
      </c>
      <c r="E47" s="114">
        <f t="shared" si="11"/>
        <v>0</v>
      </c>
      <c r="F47" s="114">
        <f t="shared" si="11"/>
        <v>0</v>
      </c>
      <c r="G47" s="114">
        <f t="shared" si="11"/>
        <v>0</v>
      </c>
      <c r="H47" s="114">
        <f t="shared" si="11"/>
        <v>0</v>
      </c>
      <c r="I47" s="114">
        <f t="shared" si="11"/>
        <v>0</v>
      </c>
      <c r="J47" s="114">
        <f t="shared" si="11"/>
        <v>0</v>
      </c>
    </row>
    <row r="48" spans="1:10">
      <c r="A48" s="93"/>
      <c r="B48" s="93"/>
      <c r="C48" s="93"/>
      <c r="D48" s="93"/>
      <c r="E48" s="93"/>
      <c r="F48" s="93"/>
      <c r="G48" s="93"/>
      <c r="H48" s="93"/>
      <c r="I48" s="93"/>
      <c r="J48" s="93"/>
    </row>
    <row r="49" spans="1:10">
      <c r="A49" s="93"/>
    </row>
    <row r="51" spans="1:10">
      <c r="A51" s="414" t="s">
        <v>422</v>
      </c>
      <c r="B51" s="414"/>
      <c r="C51" s="414"/>
      <c r="D51" s="414"/>
      <c r="E51" s="414"/>
      <c r="F51" s="414"/>
      <c r="G51" s="414"/>
      <c r="H51" s="414"/>
      <c r="I51" s="414"/>
      <c r="J51" s="414"/>
    </row>
    <row r="53" spans="1:10">
      <c r="A53" t="s">
        <v>535</v>
      </c>
    </row>
    <row r="54" spans="1:10">
      <c r="A54">
        <v>1</v>
      </c>
      <c r="B54" t="s">
        <v>546</v>
      </c>
    </row>
    <row r="55" spans="1:10">
      <c r="A55">
        <v>2</v>
      </c>
      <c r="B55" t="s">
        <v>547</v>
      </c>
    </row>
    <row r="56" spans="1:10">
      <c r="A56">
        <v>3</v>
      </c>
      <c r="B56" s="93" t="s">
        <v>587</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E12" sqref="E1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3" t="s">
        <v>577</v>
      </c>
      <c r="B3" s="413"/>
      <c r="C3" s="413"/>
      <c r="D3" s="413"/>
      <c r="E3" s="413"/>
      <c r="F3" s="413"/>
      <c r="G3" s="413"/>
      <c r="H3" s="413"/>
      <c r="I3" s="413"/>
      <c r="J3" s="413"/>
      <c r="K3" s="413"/>
      <c r="L3" s="413"/>
    </row>
    <row r="4" spans="1:13" ht="18.75">
      <c r="A4" s="413" t="s">
        <v>578</v>
      </c>
      <c r="B4" s="413"/>
      <c r="C4" s="413"/>
      <c r="D4" s="413"/>
      <c r="E4" s="413"/>
      <c r="F4" s="413"/>
      <c r="G4" s="413"/>
      <c r="H4" s="413"/>
      <c r="I4" s="413"/>
      <c r="J4" s="413"/>
      <c r="K4" s="413"/>
      <c r="L4" s="413"/>
    </row>
    <row r="5" spans="1:13">
      <c r="A5" s="93"/>
      <c r="B5" s="93"/>
      <c r="C5" s="93"/>
    </row>
    <row r="6" spans="1:13">
      <c r="A6" s="93"/>
      <c r="B6" s="93"/>
      <c r="C6" s="93"/>
    </row>
    <row r="7" spans="1:13" ht="45">
      <c r="A7" s="277" t="s">
        <v>144</v>
      </c>
      <c r="B7" s="278" t="s">
        <v>430</v>
      </c>
      <c r="C7" s="278" t="s">
        <v>438</v>
      </c>
      <c r="D7" s="278" t="s">
        <v>436</v>
      </c>
      <c r="E7" s="278" t="s">
        <v>437</v>
      </c>
      <c r="F7" s="278" t="s">
        <v>306</v>
      </c>
      <c r="G7" s="278" t="s">
        <v>439</v>
      </c>
      <c r="H7" s="278" t="s">
        <v>440</v>
      </c>
      <c r="I7" s="278" t="s">
        <v>441</v>
      </c>
      <c r="J7" s="280" t="s">
        <v>444</v>
      </c>
      <c r="K7" s="278" t="s">
        <v>442</v>
      </c>
      <c r="L7" s="280" t="s">
        <v>443</v>
      </c>
      <c r="M7" s="278" t="s">
        <v>446</v>
      </c>
    </row>
    <row r="8" spans="1:13">
      <c r="A8" s="279">
        <v>1</v>
      </c>
      <c r="B8" s="273" t="s">
        <v>431</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432</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433</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434</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435</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3" t="s">
        <v>579</v>
      </c>
      <c r="B21" s="413"/>
      <c r="C21" s="413"/>
      <c r="D21" s="413"/>
      <c r="E21" s="413"/>
      <c r="F21" s="413"/>
      <c r="G21" s="413"/>
      <c r="H21" s="413"/>
      <c r="I21" s="413"/>
      <c r="J21" s="413"/>
      <c r="K21" s="413"/>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448</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445</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447</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4" t="s">
        <v>420</v>
      </c>
      <c r="B62" s="414"/>
      <c r="C62" s="414"/>
      <c r="D62" s="414"/>
      <c r="E62" s="414"/>
      <c r="F62" s="414"/>
      <c r="G62" s="414"/>
      <c r="H62" s="414"/>
      <c r="I62" s="414"/>
      <c r="J62" s="414"/>
      <c r="K62" s="414"/>
      <c r="L62" s="414"/>
    </row>
    <row r="65" spans="1:2">
      <c r="A65" t="s">
        <v>535</v>
      </c>
    </row>
    <row r="66" spans="1:2">
      <c r="A66">
        <v>1</v>
      </c>
      <c r="B66" t="s">
        <v>546</v>
      </c>
    </row>
    <row r="67" spans="1:2">
      <c r="A67">
        <v>2</v>
      </c>
      <c r="B67" t="s">
        <v>547</v>
      </c>
    </row>
    <row r="68" spans="1:2">
      <c r="A68">
        <v>3</v>
      </c>
      <c r="B68" s="93" t="s">
        <v>587</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3" t="s">
        <v>580</v>
      </c>
      <c r="B2" s="413"/>
      <c r="C2" s="413"/>
      <c r="D2" s="413"/>
      <c r="E2" s="413"/>
      <c r="F2" s="413"/>
      <c r="G2" s="413"/>
      <c r="H2" s="413"/>
      <c r="I2" s="413"/>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548</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409.5</v>
      </c>
      <c r="D9" s="204">
        <f>'10.Grain Production details'!C92</f>
        <v>441.00000000000006</v>
      </c>
      <c r="E9" s="204">
        <f>'10.Grain Production details'!D92</f>
        <v>472.50000000000006</v>
      </c>
      <c r="F9" s="204">
        <f>'10.Grain Production details'!E92</f>
        <v>504.00000000000011</v>
      </c>
      <c r="G9" s="204">
        <f>'10.Grain Production details'!F92</f>
        <v>535.50000000000011</v>
      </c>
      <c r="H9" s="204">
        <f>'10.Grain Production details'!G92</f>
        <v>567.00000000000011</v>
      </c>
      <c r="I9" s="204">
        <f>'10.Grain Production details'!H92</f>
        <v>598.50000000000023</v>
      </c>
    </row>
    <row r="10" spans="1:9">
      <c r="A10" s="98" t="str">
        <f>'10.Grain Production details'!A93</f>
        <v>Tur</v>
      </c>
      <c r="B10" s="204"/>
      <c r="C10" s="204">
        <f>'10.Grain Production details'!B93</f>
        <v>45.5</v>
      </c>
      <c r="D10" s="204">
        <f>'10.Grain Production details'!C93</f>
        <v>49.000000000000007</v>
      </c>
      <c r="E10" s="204">
        <f>'10.Grain Production details'!D93</f>
        <v>52.500000000000007</v>
      </c>
      <c r="F10" s="204">
        <f>'10.Grain Production details'!E93</f>
        <v>56.000000000000014</v>
      </c>
      <c r="G10" s="204">
        <f>'10.Grain Production details'!F93</f>
        <v>59.500000000000014</v>
      </c>
      <c r="H10" s="204">
        <f>'10.Grain Production details'!G93</f>
        <v>63.000000000000014</v>
      </c>
      <c r="I10" s="204">
        <f>'10.Grain Production details'!H93</f>
        <v>66.500000000000014</v>
      </c>
    </row>
    <row r="11" spans="1:9">
      <c r="A11" s="98" t="str">
        <f>'10.Grain Production details'!A94</f>
        <v>Turmeric</v>
      </c>
      <c r="B11" s="204"/>
      <c r="C11" s="204">
        <f>'10.Grain Production details'!B94</f>
        <v>318.5</v>
      </c>
      <c r="D11" s="204">
        <f>'10.Grain Production details'!C94</f>
        <v>343.00000000000006</v>
      </c>
      <c r="E11" s="204">
        <f>'10.Grain Production details'!D94</f>
        <v>367.50000000000011</v>
      </c>
      <c r="F11" s="204">
        <f>'10.Grain Production details'!E94</f>
        <v>392.00000000000011</v>
      </c>
      <c r="G11" s="204">
        <f>'10.Grain Production details'!F94</f>
        <v>416.50000000000017</v>
      </c>
      <c r="H11" s="204">
        <f>'10.Grain Production details'!G94</f>
        <v>441.00000000000023</v>
      </c>
      <c r="I11" s="204">
        <f>'10.Grain Production details'!H94</f>
        <v>465.50000000000023</v>
      </c>
    </row>
    <row r="12" spans="1:9">
      <c r="A12" s="98" t="str">
        <f>'10.Grain Production details'!A95</f>
        <v>Moong</v>
      </c>
      <c r="B12" s="204"/>
      <c r="C12" s="204">
        <f>'10.Grain Production details'!B95</f>
        <v>45.5</v>
      </c>
      <c r="D12" s="204">
        <f>'10.Grain Production details'!C95</f>
        <v>49.000000000000007</v>
      </c>
      <c r="E12" s="204">
        <f>'10.Grain Production details'!D95</f>
        <v>52.500000000000007</v>
      </c>
      <c r="F12" s="204">
        <f>'10.Grain Production details'!E95</f>
        <v>56.000000000000014</v>
      </c>
      <c r="G12" s="204">
        <f>'10.Grain Production details'!F95</f>
        <v>59.500000000000014</v>
      </c>
      <c r="H12" s="204">
        <f>'10.Grain Production details'!G95</f>
        <v>63.000000000000014</v>
      </c>
      <c r="I12" s="204">
        <f>'10.Grain Production details'!H95</f>
        <v>66.500000000000014</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45.5</v>
      </c>
      <c r="D14" s="204">
        <f>'10.Grain Production details'!C97</f>
        <v>49.000000000000007</v>
      </c>
      <c r="E14" s="204">
        <f>'10.Grain Production details'!D97</f>
        <v>52.500000000000007</v>
      </c>
      <c r="F14" s="204">
        <f>'10.Grain Production details'!E97</f>
        <v>56.000000000000014</v>
      </c>
      <c r="G14" s="204">
        <f>'10.Grain Production details'!F97</f>
        <v>59.500000000000014</v>
      </c>
      <c r="H14" s="204">
        <f>'10.Grain Production details'!G97</f>
        <v>63.000000000000014</v>
      </c>
      <c r="I14" s="204">
        <f>'10.Grain Production details'!H97</f>
        <v>66.500000000000014</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45.5</v>
      </c>
      <c r="D16" s="204">
        <f>'10.Grain Production details'!C99</f>
        <v>49.000000000000007</v>
      </c>
      <c r="E16" s="204">
        <f>'10.Grain Production details'!D99</f>
        <v>52.500000000000007</v>
      </c>
      <c r="F16" s="204">
        <f>'10.Grain Production details'!E99</f>
        <v>56.000000000000014</v>
      </c>
      <c r="G16" s="204">
        <f>'10.Grain Production details'!F99</f>
        <v>59.500000000000014</v>
      </c>
      <c r="H16" s="204">
        <f>'10.Grain Production details'!G99</f>
        <v>63.000000000000014</v>
      </c>
      <c r="I16" s="204">
        <f>'10.Grain Production details'!H99</f>
        <v>66.500000000000014</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81.900000000000006</v>
      </c>
      <c r="D18" s="204">
        <f>'10.Grain Production details'!C101</f>
        <v>88.2</v>
      </c>
      <c r="E18" s="204">
        <f>'10.Grain Production details'!D101</f>
        <v>94.5</v>
      </c>
      <c r="F18" s="204">
        <f>'10.Grain Production details'!E101</f>
        <v>100.80000000000001</v>
      </c>
      <c r="G18" s="204">
        <f>'10.Grain Production details'!F101</f>
        <v>107.10000000000001</v>
      </c>
      <c r="H18" s="204">
        <f>'10.Grain Production details'!G101</f>
        <v>113.40000000000002</v>
      </c>
      <c r="I18" s="204">
        <f>'10.Grain Production details'!H101</f>
        <v>119.70000000000002</v>
      </c>
    </row>
    <row r="19" spans="1:9">
      <c r="A19" s="98" t="str">
        <f>'10.Grain Production details'!A102</f>
        <v>Channa</v>
      </c>
      <c r="B19" s="204"/>
      <c r="C19" s="204">
        <f>'10.Grain Production details'!B102</f>
        <v>382.2</v>
      </c>
      <c r="D19" s="204">
        <f>'10.Grain Production details'!C102</f>
        <v>411.6</v>
      </c>
      <c r="E19" s="204">
        <f>'10.Grain Production details'!D102</f>
        <v>441.00000000000006</v>
      </c>
      <c r="F19" s="204">
        <f>'10.Grain Production details'!E102</f>
        <v>470.40000000000009</v>
      </c>
      <c r="G19" s="204">
        <f>'10.Grain Production details'!F102</f>
        <v>499.80000000000013</v>
      </c>
      <c r="H19" s="204">
        <f>'10.Grain Production details'!G102</f>
        <v>529.20000000000016</v>
      </c>
      <c r="I19" s="204">
        <f>'10.Grain Production details'!H102</f>
        <v>558.60000000000014</v>
      </c>
    </row>
    <row r="20" spans="1:9">
      <c r="A20" s="98" t="str">
        <f>'10.Grain Production details'!A103</f>
        <v>Jawar</v>
      </c>
      <c r="B20" s="204"/>
      <c r="C20" s="204">
        <f>'10.Grain Production details'!B103</f>
        <v>54.6</v>
      </c>
      <c r="D20" s="204">
        <f>'10.Grain Production details'!C103</f>
        <v>58.800000000000004</v>
      </c>
      <c r="E20" s="204">
        <f>'10.Grain Production details'!D103</f>
        <v>63.000000000000007</v>
      </c>
      <c r="F20" s="204">
        <f>'10.Grain Production details'!E103</f>
        <v>67.200000000000017</v>
      </c>
      <c r="G20" s="204">
        <f>'10.Grain Production details'!F103</f>
        <v>71.40000000000002</v>
      </c>
      <c r="H20" s="204">
        <f>'10.Grain Production details'!G103</f>
        <v>75.600000000000023</v>
      </c>
      <c r="I20" s="204">
        <f>'10.Grain Production details'!H103</f>
        <v>79.800000000000026</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27.3</v>
      </c>
      <c r="D23" s="204">
        <f>'10.Grain Production details'!C106</f>
        <v>29.400000000000002</v>
      </c>
      <c r="E23" s="204">
        <f>'10.Grain Production details'!D106</f>
        <v>31.500000000000004</v>
      </c>
      <c r="F23" s="204">
        <f>'10.Grain Production details'!E106</f>
        <v>33.600000000000009</v>
      </c>
      <c r="G23" s="204">
        <f>'10.Grain Production details'!F106</f>
        <v>35.70000000000001</v>
      </c>
      <c r="H23" s="204">
        <f>'10.Grain Production details'!G106</f>
        <v>37.800000000000011</v>
      </c>
      <c r="I23" s="204">
        <f>'10.Grain Production details'!H106</f>
        <v>39.900000000000013</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4.55</v>
      </c>
      <c r="D27" s="204">
        <f>'10.Grain Production details'!C110</f>
        <v>4.8999999999999995</v>
      </c>
      <c r="E27" s="204">
        <f>'10.Grain Production details'!D110</f>
        <v>5.2499999999999991</v>
      </c>
      <c r="F27" s="204">
        <f>'10.Grain Production details'!E110</f>
        <v>5.6</v>
      </c>
      <c r="G27" s="204">
        <f>'10.Grain Production details'!F110</f>
        <v>5.95</v>
      </c>
      <c r="H27" s="204">
        <f>'10.Grain Production details'!G110</f>
        <v>6.3</v>
      </c>
      <c r="I27" s="204">
        <f>'10.Grain Production details'!H110</f>
        <v>6.65</v>
      </c>
    </row>
    <row r="28" spans="1:9">
      <c r="A28" s="98" t="str">
        <f>'10.Grain Production details'!A110</f>
        <v>Paddy</v>
      </c>
      <c r="B28" s="204"/>
      <c r="C28" s="204">
        <f>'10.Grain Production details'!B111</f>
        <v>4.55</v>
      </c>
      <c r="D28" s="204">
        <f>'10.Grain Production details'!C111</f>
        <v>4.8999999999999995</v>
      </c>
      <c r="E28" s="204">
        <f>'10.Grain Production details'!D111</f>
        <v>5.2499999999999991</v>
      </c>
      <c r="F28" s="204">
        <f>'10.Grain Production details'!E111</f>
        <v>5.6</v>
      </c>
      <c r="G28" s="204">
        <f>'10.Grain Production details'!F111</f>
        <v>5.95</v>
      </c>
      <c r="H28" s="204">
        <f>'10.Grain Production details'!G111</f>
        <v>6.3</v>
      </c>
      <c r="I28" s="204">
        <f>'10.Grain Production details'!H111</f>
        <v>6.65</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t="str">
        <f t="shared" si="0"/>
        <v>Paddy</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3" t="s">
        <v>581</v>
      </c>
      <c r="B122" s="413"/>
      <c r="C122" s="413"/>
      <c r="D122" s="413"/>
      <c r="E122" s="413"/>
      <c r="F122" s="413"/>
      <c r="G122" s="413"/>
      <c r="H122" s="413"/>
      <c r="I122" s="413"/>
      <c r="J122" s="413"/>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t="str">
        <f t="shared" si="52"/>
        <v>Paddy</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Paddy</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4" t="s">
        <v>419</v>
      </c>
      <c r="B279" s="414"/>
      <c r="C279" s="414"/>
      <c r="D279" s="414"/>
      <c r="E279" s="414"/>
      <c r="F279" s="414"/>
      <c r="G279" s="414"/>
      <c r="H279" s="414"/>
      <c r="I279" s="414"/>
      <c r="J279" s="414"/>
    </row>
    <row r="281" spans="1:23">
      <c r="A281" t="s">
        <v>535</v>
      </c>
    </row>
    <row r="282" spans="1:23">
      <c r="A282">
        <v>1</v>
      </c>
      <c r="B282" t="s">
        <v>546</v>
      </c>
    </row>
    <row r="283" spans="1:23">
      <c r="A283">
        <v>2</v>
      </c>
      <c r="B283" t="s">
        <v>547</v>
      </c>
    </row>
    <row r="284" spans="1:23">
      <c r="A284">
        <v>3</v>
      </c>
      <c r="B284" s="93" t="s">
        <v>587</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B5" sqref="B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3" t="s">
        <v>582</v>
      </c>
      <c r="B3" s="413"/>
      <c r="C3" s="413"/>
      <c r="D3" s="413"/>
      <c r="E3" s="413"/>
      <c r="F3" s="413"/>
      <c r="G3" s="413"/>
      <c r="H3" s="413"/>
    </row>
    <row r="4" spans="1:8" ht="18.75">
      <c r="A4" s="413" t="s">
        <v>583</v>
      </c>
      <c r="B4" s="413"/>
      <c r="C4" s="413"/>
      <c r="D4" s="413"/>
      <c r="E4" s="413"/>
      <c r="F4" s="413"/>
      <c r="G4" s="413"/>
      <c r="H4" s="413"/>
    </row>
    <row r="5" spans="1:8">
      <c r="A5" s="93" t="s">
        <v>159</v>
      </c>
      <c r="B5" s="240">
        <v>1</v>
      </c>
      <c r="C5" s="93" t="s">
        <v>473</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464</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474</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521</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519</v>
      </c>
      <c r="B125" s="95">
        <f>(B$62*50%)*0.7*2</f>
        <v>0</v>
      </c>
      <c r="C125" s="95">
        <f>(C$62*50%)*0.7</f>
        <v>0</v>
      </c>
      <c r="D125" s="95">
        <f t="shared" si="18"/>
        <v>0</v>
      </c>
      <c r="E125" s="95">
        <f t="shared" si="18"/>
        <v>0</v>
      </c>
      <c r="F125" s="95">
        <f t="shared" si="18"/>
        <v>0</v>
      </c>
      <c r="G125" s="95">
        <f t="shared" si="18"/>
        <v>0</v>
      </c>
      <c r="H125" s="95">
        <f t="shared" si="18"/>
        <v>0</v>
      </c>
    </row>
    <row r="126" spans="1:8">
      <c r="A126" s="94" t="s">
        <v>520</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451</v>
      </c>
    </row>
    <row r="141" spans="1:8">
      <c r="A141" t="s">
        <v>524</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525</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526</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3" t="s">
        <v>584</v>
      </c>
      <c r="B147" s="413"/>
      <c r="C147" s="413"/>
      <c r="D147" s="413"/>
      <c r="E147" s="413"/>
      <c r="F147" s="413"/>
      <c r="G147" s="413"/>
      <c r="H147" s="413"/>
      <c r="I147" s="413"/>
      <c r="J147" s="413"/>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523</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522</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527</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528</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Details'!H60*0.746*8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4" t="s">
        <v>422</v>
      </c>
      <c r="B192" s="414"/>
      <c r="C192" s="414"/>
      <c r="D192" s="414"/>
      <c r="E192" s="414"/>
      <c r="F192" s="414"/>
      <c r="G192" s="414"/>
      <c r="H192" s="414"/>
      <c r="I192" s="414"/>
      <c r="J192" s="414"/>
    </row>
    <row r="194" spans="1:5">
      <c r="A194" t="s">
        <v>535</v>
      </c>
    </row>
    <row r="195" spans="1:5">
      <c r="A195">
        <v>1</v>
      </c>
      <c r="B195" t="s">
        <v>546</v>
      </c>
    </row>
    <row r="196" spans="1:5">
      <c r="A196">
        <v>2</v>
      </c>
      <c r="B196" t="s">
        <v>547</v>
      </c>
      <c r="C196" s="67"/>
      <c r="D196" s="67"/>
      <c r="E196" s="67"/>
    </row>
    <row r="197" spans="1:5">
      <c r="A197">
        <v>3</v>
      </c>
      <c r="B197" s="93" t="s">
        <v>587</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4"/>
  <sheetViews>
    <sheetView view="pageBreakPreview" zoomScaleSheetLayoutView="100" workbookViewId="0">
      <selection activeCell="D29" sqref="D29"/>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6" ht="26.25">
      <c r="B2" s="389" t="s">
        <v>700</v>
      </c>
    </row>
    <row r="3" spans="1:6" ht="18.75">
      <c r="B3" s="413" t="s">
        <v>701</v>
      </c>
      <c r="C3" s="413"/>
      <c r="D3" s="413"/>
      <c r="E3" s="413"/>
      <c r="F3" s="413"/>
    </row>
    <row r="5" spans="1:6">
      <c r="B5" s="334" t="s">
        <v>144</v>
      </c>
      <c r="C5" s="334" t="s">
        <v>128</v>
      </c>
      <c r="D5" s="334" t="s">
        <v>156</v>
      </c>
      <c r="E5" s="339" t="s">
        <v>467</v>
      </c>
      <c r="F5" s="339" t="s">
        <v>468</v>
      </c>
    </row>
    <row r="6" spans="1:6">
      <c r="B6" s="335">
        <v>1</v>
      </c>
      <c r="C6" s="336" t="str">
        <f>'2.Capex Details'!B2</f>
        <v>Land, Building, Shed and Warehouse</v>
      </c>
      <c r="D6" s="340">
        <f>'2.Capex Details'!G12</f>
        <v>500000</v>
      </c>
      <c r="E6" s="341">
        <v>0.6</v>
      </c>
      <c r="F6" s="342">
        <f>D6*E6</f>
        <v>300000</v>
      </c>
    </row>
    <row r="7" spans="1:6">
      <c r="B7" s="335">
        <v>2</v>
      </c>
      <c r="C7" s="336" t="str">
        <f>'2.Capex Details'!B17</f>
        <v>Machinery and Equipment</v>
      </c>
      <c r="D7" s="340">
        <f>'2.Capex Details'!G62</f>
        <v>2360000</v>
      </c>
      <c r="E7" s="341">
        <v>0.6</v>
      </c>
      <c r="F7" s="342">
        <f t="shared" ref="F7:F11" si="0">D7*E7</f>
        <v>1416000</v>
      </c>
    </row>
    <row r="8" spans="1:6">
      <c r="B8" s="335">
        <v>3</v>
      </c>
      <c r="C8" s="336" t="str">
        <f>'2.Capex Details'!B72</f>
        <v>Furniture and Fixture</v>
      </c>
      <c r="D8" s="340">
        <f>'2.Capex Details'!F80</f>
        <v>20000</v>
      </c>
      <c r="E8" s="341">
        <v>0.6</v>
      </c>
      <c r="F8" s="342">
        <f t="shared" si="0"/>
        <v>12000</v>
      </c>
    </row>
    <row r="9" spans="1:6">
      <c r="B9" s="335">
        <v>4</v>
      </c>
      <c r="C9" s="336" t="str">
        <f>'2.Capex Details'!B86</f>
        <v>IT &amp; It Infrastracture</v>
      </c>
      <c r="D9" s="340">
        <f>'2.Capex Details'!F92</f>
        <v>20000</v>
      </c>
      <c r="E9" s="341">
        <v>0.6</v>
      </c>
      <c r="F9" s="342">
        <f t="shared" si="0"/>
        <v>12000</v>
      </c>
    </row>
    <row r="10" spans="1:6">
      <c r="B10" s="335">
        <v>5</v>
      </c>
      <c r="C10" s="336" t="str">
        <f>'2.Capex Details'!B97</f>
        <v>Transport vehical  (Refer van and other)</v>
      </c>
      <c r="D10" s="340">
        <f>'2.Capex Details'!F103</f>
        <v>0</v>
      </c>
      <c r="E10" s="341">
        <v>0.6</v>
      </c>
      <c r="F10" s="342">
        <f t="shared" si="0"/>
        <v>0</v>
      </c>
    </row>
    <row r="11" spans="1:6">
      <c r="B11" s="335">
        <v>6</v>
      </c>
      <c r="C11" s="336" t="str">
        <f>'2.Capex Details'!B105</f>
        <v>Preliminary Expenses</v>
      </c>
      <c r="D11" s="340">
        <f>'2.Capex Details'!D112</f>
        <v>100000</v>
      </c>
      <c r="E11" s="341">
        <v>0.6</v>
      </c>
      <c r="F11" s="342">
        <f t="shared" si="0"/>
        <v>60000</v>
      </c>
    </row>
    <row r="12" spans="1:6">
      <c r="B12" s="335">
        <v>7</v>
      </c>
      <c r="C12" s="336" t="s">
        <v>154</v>
      </c>
      <c r="D12" s="340">
        <f>'5.Closing Stock &amp; W Capital'!E51</f>
        <v>5291714.5160978157</v>
      </c>
      <c r="E12" s="343"/>
      <c r="F12" s="343"/>
    </row>
    <row r="13" spans="1:6">
      <c r="B13" s="412" t="s">
        <v>1</v>
      </c>
      <c r="C13" s="412"/>
      <c r="D13" s="344">
        <f>SUM(D6:D12)</f>
        <v>8291714.5160978157</v>
      </c>
      <c r="E13" s="343"/>
      <c r="F13" s="344">
        <f>SUM(F6:F12)</f>
        <v>1800000</v>
      </c>
    </row>
    <row r="14" spans="1:6">
      <c r="D14" s="22"/>
    </row>
    <row r="15" spans="1:6" ht="25.5" customHeight="1">
      <c r="A15" s="415" t="s">
        <v>415</v>
      </c>
      <c r="B15" s="415"/>
      <c r="C15" s="415"/>
      <c r="D15" s="415"/>
      <c r="E15" s="415"/>
      <c r="F15" s="415"/>
    </row>
    <row r="17" spans="2:7" ht="18.75">
      <c r="B17" s="413" t="s">
        <v>702</v>
      </c>
      <c r="C17" s="413"/>
      <c r="D17" s="413"/>
      <c r="E17" s="413"/>
      <c r="F17" s="209"/>
    </row>
    <row r="19" spans="2:7">
      <c r="B19" s="333" t="s">
        <v>144</v>
      </c>
      <c r="C19" s="334" t="s">
        <v>128</v>
      </c>
      <c r="D19" s="334" t="s">
        <v>634</v>
      </c>
      <c r="E19" s="334" t="s">
        <v>156</v>
      </c>
    </row>
    <row r="20" spans="2:7">
      <c r="B20" s="335">
        <v>1</v>
      </c>
      <c r="C20" s="336" t="s">
        <v>331</v>
      </c>
      <c r="D20" s="372"/>
      <c r="E20" s="337">
        <f>F13</f>
        <v>1800000</v>
      </c>
    </row>
    <row r="21" spans="2:7">
      <c r="B21" s="335">
        <v>2</v>
      </c>
      <c r="C21" s="336" t="s">
        <v>155</v>
      </c>
      <c r="D21" s="366">
        <v>0</v>
      </c>
      <c r="E21" s="337">
        <f>SUM(D6:D10)*D21</f>
        <v>0</v>
      </c>
    </row>
    <row r="22" spans="2:7">
      <c r="B22" s="335">
        <v>3</v>
      </c>
      <c r="C22" s="336" t="s">
        <v>134</v>
      </c>
      <c r="D22" s="337"/>
      <c r="E22" s="337">
        <f>D13-E20-E21</f>
        <v>6491714.5160978157</v>
      </c>
    </row>
    <row r="23" spans="2:7">
      <c r="B23" s="412" t="s">
        <v>1</v>
      </c>
      <c r="C23" s="412"/>
      <c r="D23" s="338"/>
      <c r="E23" s="338">
        <f>SUM(E20:E22)</f>
        <v>8291714.5160978157</v>
      </c>
    </row>
    <row r="25" spans="2:7">
      <c r="B25" s="414" t="s">
        <v>416</v>
      </c>
      <c r="C25" s="414"/>
      <c r="D25" s="414"/>
      <c r="E25" s="414"/>
      <c r="F25" s="414"/>
    </row>
    <row r="27" spans="2:7" ht="18.75">
      <c r="B27" s="416" t="s">
        <v>709</v>
      </c>
      <c r="C27" s="416"/>
      <c r="D27" s="416"/>
      <c r="E27" s="416"/>
      <c r="F27" s="416"/>
      <c r="G27" s="416"/>
    </row>
    <row r="28" spans="2:7">
      <c r="B28" s="345" t="s">
        <v>144</v>
      </c>
      <c r="C28" s="346" t="s">
        <v>590</v>
      </c>
      <c r="D28" s="347" t="s">
        <v>591</v>
      </c>
      <c r="E28" s="348" t="s">
        <v>592</v>
      </c>
      <c r="F28" s="410" t="s">
        <v>593</v>
      </c>
      <c r="G28" s="411"/>
    </row>
    <row r="29" spans="2:7" ht="25.5">
      <c r="B29" s="349">
        <v>1</v>
      </c>
      <c r="C29" s="336" t="s">
        <v>375</v>
      </c>
      <c r="D29" s="350">
        <f>'9. Financial indiacators'!C49</f>
        <v>0.56634430590783424</v>
      </c>
      <c r="E29" s="349" t="s">
        <v>376</v>
      </c>
      <c r="F29" s="356" t="s">
        <v>594</v>
      </c>
      <c r="G29" s="349" t="s">
        <v>377</v>
      </c>
    </row>
    <row r="30" spans="2:7" ht="38.25">
      <c r="B30" s="349">
        <v>2</v>
      </c>
      <c r="C30" s="336" t="s">
        <v>378</v>
      </c>
      <c r="D30" s="351">
        <f>'9. Financial indiacators'!C85</f>
        <v>0.26740852355015121</v>
      </c>
      <c r="E30" s="349" t="s">
        <v>376</v>
      </c>
      <c r="F30" s="356" t="s">
        <v>595</v>
      </c>
      <c r="G30" s="349" t="s">
        <v>379</v>
      </c>
    </row>
    <row r="31" spans="2:7" ht="38.25">
      <c r="B31" s="349">
        <v>3</v>
      </c>
      <c r="C31" s="336" t="s">
        <v>380</v>
      </c>
      <c r="D31" s="350">
        <f>'9. Financial indiacators'!C16</f>
        <v>0.1375825633126766</v>
      </c>
      <c r="E31" s="349" t="s">
        <v>376</v>
      </c>
      <c r="F31" s="356" t="s">
        <v>596</v>
      </c>
      <c r="G31" s="349" t="s">
        <v>381</v>
      </c>
    </row>
    <row r="32" spans="2:7" ht="63.75">
      <c r="B32" s="349">
        <v>4</v>
      </c>
      <c r="C32" s="336" t="s">
        <v>382</v>
      </c>
      <c r="D32" s="352">
        <f>'9. Financial indiacators'!C73</f>
        <v>1654903.3174793664</v>
      </c>
      <c r="E32" s="349" t="s">
        <v>386</v>
      </c>
      <c r="F32" s="356" t="s">
        <v>597</v>
      </c>
      <c r="G32" s="349" t="s">
        <v>383</v>
      </c>
    </row>
    <row r="33" spans="2:7" ht="38.25">
      <c r="B33" s="349">
        <v>5</v>
      </c>
      <c r="C33" s="336" t="s">
        <v>384</v>
      </c>
      <c r="D33" s="353">
        <f>'9. Financial indiacators'!D101</f>
        <v>5.2886188115291644</v>
      </c>
      <c r="E33" s="349" t="s">
        <v>376</v>
      </c>
      <c r="F33" s="356" t="s">
        <v>598</v>
      </c>
      <c r="G33" s="349" t="s">
        <v>387</v>
      </c>
    </row>
    <row r="34" spans="2:7" ht="38.25">
      <c r="B34" s="349">
        <v>6</v>
      </c>
      <c r="C34" s="354" t="s">
        <v>385</v>
      </c>
      <c r="D34" s="353" t="e">
        <f>'9. Financial indiacators'!C119</f>
        <v>#DIV/0!</v>
      </c>
      <c r="E34" s="355" t="s">
        <v>376</v>
      </c>
      <c r="F34" s="356" t="s">
        <v>599</v>
      </c>
      <c r="G34" s="354" t="s">
        <v>388</v>
      </c>
    </row>
  </sheetData>
  <mergeCells count="8">
    <mergeCell ref="F28:G28"/>
    <mergeCell ref="B13:C13"/>
    <mergeCell ref="B23:C23"/>
    <mergeCell ref="B3:F3"/>
    <mergeCell ref="B25:F25"/>
    <mergeCell ref="A15:F15"/>
    <mergeCell ref="B27:G27"/>
    <mergeCell ref="B17:E17"/>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4"/>
  <sheetViews>
    <sheetView view="pageBreakPreview" zoomScaleSheetLayoutView="100" workbookViewId="0">
      <selection activeCell="D108" sqref="D108"/>
    </sheetView>
  </sheetViews>
  <sheetFormatPr defaultRowHeight="15"/>
  <cols>
    <col min="2" max="2" width="7.5703125" bestFit="1" customWidth="1"/>
    <col min="3" max="3" width="41.5703125" customWidth="1"/>
    <col min="4" max="4" width="11.5703125" customWidth="1"/>
    <col min="5" max="5" width="17" customWidth="1"/>
    <col min="6" max="6" width="14" bestFit="1" customWidth="1"/>
    <col min="7" max="7" width="12.28515625" customWidth="1"/>
    <col min="8" max="8" width="11.5703125" bestFit="1" customWidth="1"/>
  </cols>
  <sheetData>
    <row r="2" spans="1:7" ht="18.75">
      <c r="A2" s="5" t="s">
        <v>703</v>
      </c>
      <c r="B2" s="413" t="s">
        <v>683</v>
      </c>
      <c r="C2" s="413"/>
      <c r="D2" s="413"/>
      <c r="E2" s="413"/>
      <c r="F2" s="413"/>
      <c r="G2" s="413"/>
    </row>
    <row r="4" spans="1:7" ht="28.5">
      <c r="B4" s="214" t="s">
        <v>144</v>
      </c>
      <c r="C4" s="214" t="s">
        <v>128</v>
      </c>
      <c r="D4" s="214" t="s">
        <v>132</v>
      </c>
      <c r="E4" s="214" t="s">
        <v>145</v>
      </c>
      <c r="F4" s="214" t="s">
        <v>146</v>
      </c>
      <c r="G4" s="214" t="s">
        <v>156</v>
      </c>
    </row>
    <row r="5" spans="1:7">
      <c r="B5" s="373">
        <v>1</v>
      </c>
      <c r="C5" s="373" t="s">
        <v>147</v>
      </c>
      <c r="D5" s="373" t="s">
        <v>148</v>
      </c>
      <c r="E5" s="390">
        <v>1</v>
      </c>
      <c r="F5" s="390">
        <v>3080000</v>
      </c>
      <c r="G5" s="357" t="s">
        <v>697</v>
      </c>
    </row>
    <row r="6" spans="1:7">
      <c r="B6" s="373">
        <v>2</v>
      </c>
      <c r="C6" s="373" t="s">
        <v>714</v>
      </c>
      <c r="D6" s="374" t="s">
        <v>717</v>
      </c>
      <c r="E6" s="375">
        <v>1</v>
      </c>
      <c r="F6" s="390">
        <v>500000</v>
      </c>
      <c r="G6" s="377">
        <f>E6*F6</f>
        <v>500000</v>
      </c>
    </row>
    <row r="7" spans="1:7">
      <c r="B7" s="373"/>
      <c r="C7" s="373"/>
      <c r="D7" s="374"/>
      <c r="E7" s="375"/>
      <c r="F7" s="390"/>
      <c r="G7" s="377">
        <f t="shared" ref="G7:G11" si="0">E7*F7</f>
        <v>0</v>
      </c>
    </row>
    <row r="8" spans="1:7">
      <c r="B8" s="373"/>
      <c r="C8" s="373"/>
      <c r="D8" s="374"/>
      <c r="E8" s="375"/>
      <c r="F8" s="376"/>
      <c r="G8" s="377">
        <f t="shared" si="0"/>
        <v>0</v>
      </c>
    </row>
    <row r="9" spans="1:7">
      <c r="B9" s="373"/>
      <c r="C9" s="373"/>
      <c r="D9" s="374"/>
      <c r="E9" s="375"/>
      <c r="F9" s="376"/>
      <c r="G9" s="377">
        <f t="shared" si="0"/>
        <v>0</v>
      </c>
    </row>
    <row r="10" spans="1:7">
      <c r="B10" s="373"/>
      <c r="C10" s="373"/>
      <c r="D10" s="374"/>
      <c r="E10" s="375"/>
      <c r="F10" s="376"/>
      <c r="G10" s="377">
        <f t="shared" si="0"/>
        <v>0</v>
      </c>
    </row>
    <row r="11" spans="1:7">
      <c r="B11" s="373"/>
      <c r="C11" s="373"/>
      <c r="D11" s="374"/>
      <c r="E11" s="375"/>
      <c r="F11" s="376"/>
      <c r="G11" s="377">
        <f t="shared" si="0"/>
        <v>0</v>
      </c>
    </row>
    <row r="12" spans="1:7">
      <c r="B12" s="424" t="s">
        <v>1</v>
      </c>
      <c r="C12" s="424"/>
      <c r="D12" s="424"/>
      <c r="E12" s="424"/>
      <c r="F12" s="424"/>
      <c r="G12" s="228">
        <f>SUM(G6:G11)</f>
        <v>500000</v>
      </c>
    </row>
    <row r="15" spans="1:7">
      <c r="B15" s="414" t="s">
        <v>411</v>
      </c>
      <c r="C15" s="414"/>
      <c r="D15" s="414"/>
      <c r="E15" s="414"/>
      <c r="F15" s="414"/>
      <c r="G15" s="414"/>
    </row>
    <row r="17" spans="2:8" ht="18.75">
      <c r="B17" s="413" t="s">
        <v>153</v>
      </c>
      <c r="C17" s="413"/>
      <c r="D17" s="413"/>
      <c r="E17" s="413"/>
      <c r="F17" s="413"/>
      <c r="G17" s="413"/>
      <c r="H17" s="413"/>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25" t="s">
        <v>169</v>
      </c>
      <c r="C32" s="426"/>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25" t="s">
        <v>169</v>
      </c>
      <c r="C47" s="426"/>
      <c r="D47" s="232"/>
      <c r="E47" s="232"/>
      <c r="F47" s="235"/>
      <c r="G47" s="235">
        <f>SUM(G34:G46)</f>
        <v>0</v>
      </c>
      <c r="H47" s="235">
        <f>SUM(H34:H46)</f>
        <v>0</v>
      </c>
    </row>
    <row r="48" spans="2:8" hidden="1">
      <c r="B48" s="236"/>
      <c r="C48" s="237"/>
      <c r="D48" s="236"/>
      <c r="E48" s="236"/>
      <c r="F48" s="230"/>
      <c r="G48" s="230"/>
      <c r="H48" s="229"/>
    </row>
    <row r="49" spans="2:11">
      <c r="B49" s="378" t="s">
        <v>171</v>
      </c>
      <c r="C49" s="221"/>
      <c r="D49" s="379"/>
      <c r="E49" s="379"/>
      <c r="F49" s="380"/>
      <c r="G49" s="380">
        <f t="shared" ref="G49:G50" si="4">E49*F49</f>
        <v>0</v>
      </c>
      <c r="H49" s="98"/>
    </row>
    <row r="50" spans="2:11">
      <c r="B50" s="378"/>
      <c r="C50" s="221" t="s">
        <v>715</v>
      </c>
      <c r="D50" s="223" t="s">
        <v>717</v>
      </c>
      <c r="E50" s="379">
        <v>1</v>
      </c>
      <c r="F50" s="380">
        <v>2000000</v>
      </c>
      <c r="G50" s="380">
        <f t="shared" si="4"/>
        <v>2000000</v>
      </c>
      <c r="H50" s="98"/>
    </row>
    <row r="51" spans="2:11">
      <c r="B51" s="378"/>
      <c r="C51" s="221" t="s">
        <v>711</v>
      </c>
      <c r="D51" s="223">
        <v>1</v>
      </c>
      <c r="E51" s="379">
        <v>1</v>
      </c>
      <c r="F51" s="380">
        <v>360000</v>
      </c>
      <c r="G51" s="380">
        <f t="shared" ref="G51" si="5">E51*F51</f>
        <v>360000</v>
      </c>
      <c r="H51" s="98"/>
    </row>
    <row r="52" spans="2:11">
      <c r="B52" s="378"/>
      <c r="C52" s="221"/>
      <c r="D52" s="223"/>
      <c r="E52" s="379"/>
      <c r="F52" s="380"/>
      <c r="G52" s="380"/>
      <c r="H52" s="98"/>
    </row>
    <row r="53" spans="2:11">
      <c r="B53" s="378"/>
      <c r="C53" s="221"/>
      <c r="D53" s="223">
        <v>1</v>
      </c>
      <c r="E53" s="379"/>
      <c r="F53" s="380"/>
      <c r="G53" s="380"/>
      <c r="H53" s="98"/>
    </row>
    <row r="54" spans="2:11">
      <c r="B54" s="427" t="s">
        <v>169</v>
      </c>
      <c r="C54" s="427"/>
      <c r="D54" s="223"/>
      <c r="E54" s="379"/>
      <c r="F54" s="380"/>
      <c r="G54" s="380">
        <f>SUM(G50:G53)</f>
        <v>2360000</v>
      </c>
      <c r="H54" s="380">
        <f>SUM(H49:H50)</f>
        <v>0</v>
      </c>
    </row>
    <row r="55" spans="2:11" hidden="1">
      <c r="B55" s="232"/>
      <c r="C55" s="232"/>
      <c r="D55" s="237"/>
      <c r="E55" s="236"/>
      <c r="F55" s="230"/>
      <c r="G55" s="230"/>
      <c r="H55" s="230"/>
    </row>
    <row r="56" spans="2:11" hidden="1">
      <c r="B56" s="232" t="s">
        <v>174</v>
      </c>
      <c r="C56" s="232" t="s">
        <v>534</v>
      </c>
      <c r="D56" s="237"/>
      <c r="E56" s="236"/>
      <c r="F56" s="230"/>
      <c r="G56" s="230">
        <f>E56*F56</f>
        <v>0</v>
      </c>
      <c r="H56" s="230"/>
    </row>
    <row r="57" spans="2:11" hidden="1">
      <c r="B57" s="232"/>
      <c r="C57" s="232"/>
      <c r="D57" s="237"/>
      <c r="E57" s="236"/>
      <c r="F57" s="230"/>
      <c r="G57" s="230">
        <f t="shared" ref="G57:G59" si="6">E57*F57</f>
        <v>0</v>
      </c>
      <c r="H57" s="230"/>
    </row>
    <row r="58" spans="2:11" hidden="1">
      <c r="B58" s="232"/>
      <c r="C58" s="232"/>
      <c r="D58" s="237"/>
      <c r="E58" s="236"/>
      <c r="F58" s="230"/>
      <c r="G58" s="230">
        <f t="shared" si="6"/>
        <v>0</v>
      </c>
      <c r="H58" s="230"/>
    </row>
    <row r="59" spans="2:11" hidden="1">
      <c r="B59" s="232"/>
      <c r="C59" s="231"/>
      <c r="D59" s="237"/>
      <c r="E59" s="236"/>
      <c r="F59" s="230"/>
      <c r="G59" s="230">
        <f t="shared" si="6"/>
        <v>0</v>
      </c>
      <c r="H59" s="229"/>
    </row>
    <row r="60" spans="2:11" hidden="1">
      <c r="B60" s="420" t="s">
        <v>169</v>
      </c>
      <c r="C60" s="420"/>
      <c r="D60" s="237"/>
      <c r="E60" s="236"/>
      <c r="F60" s="230"/>
      <c r="G60" s="230">
        <f>SUM(G56:G59)</f>
        <v>0</v>
      </c>
      <c r="H60" s="230">
        <f>SUM(H56:H59)</f>
        <v>0</v>
      </c>
    </row>
    <row r="61" spans="2:11" hidden="1">
      <c r="B61" s="236"/>
      <c r="C61" s="237"/>
      <c r="D61" s="237"/>
      <c r="E61" s="236"/>
      <c r="F61" s="230"/>
      <c r="G61" s="230"/>
      <c r="H61" s="229"/>
    </row>
    <row r="62" spans="2:11">
      <c r="B62" s="421" t="s">
        <v>1</v>
      </c>
      <c r="C62" s="421"/>
      <c r="D62" s="421"/>
      <c r="E62" s="421"/>
      <c r="F62" s="421"/>
      <c r="G62" s="227">
        <f>G54+G47+G32+G60</f>
        <v>2360000</v>
      </c>
      <c r="H62" s="227">
        <f>H47+H21+H54+H60</f>
        <v>0</v>
      </c>
    </row>
    <row r="63" spans="2:11">
      <c r="B63" s="414" t="s">
        <v>412</v>
      </c>
      <c r="C63" s="414"/>
      <c r="D63" s="414"/>
      <c r="E63" s="414"/>
      <c r="F63" s="414"/>
      <c r="G63" s="414"/>
      <c r="H63" s="414"/>
    </row>
    <row r="64" spans="2:11" hidden="1">
      <c r="B64" s="19"/>
      <c r="G64" s="18"/>
      <c r="I64" s="19"/>
      <c r="J64" s="19"/>
      <c r="K64" s="20"/>
    </row>
    <row r="65" spans="1:6" hidden="1"/>
    <row r="66" spans="1:6" hidden="1"/>
    <row r="67" spans="1:6">
      <c r="A67" t="s">
        <v>712</v>
      </c>
      <c r="B67" t="s">
        <v>712</v>
      </c>
    </row>
    <row r="72" spans="1:6" ht="18.75">
      <c r="B72" s="413" t="s">
        <v>373</v>
      </c>
      <c r="C72" s="413"/>
      <c r="D72" s="413"/>
      <c r="E72" s="413"/>
      <c r="F72" s="413"/>
    </row>
    <row r="73" spans="1:6" ht="30">
      <c r="B73" s="23" t="s">
        <v>144</v>
      </c>
      <c r="C73" s="57" t="s">
        <v>128</v>
      </c>
      <c r="D73" s="57" t="s">
        <v>150</v>
      </c>
      <c r="E73" s="57" t="s">
        <v>151</v>
      </c>
      <c r="F73" s="57" t="s">
        <v>156</v>
      </c>
    </row>
    <row r="74" spans="1:6">
      <c r="B74" s="381">
        <v>1</v>
      </c>
      <c r="C74" s="382" t="s">
        <v>680</v>
      </c>
      <c r="D74" s="381">
        <v>1</v>
      </c>
      <c r="E74" s="383">
        <v>20000</v>
      </c>
      <c r="F74" s="384">
        <f t="shared" ref="F74:F79" si="7">D74*E74</f>
        <v>20000</v>
      </c>
    </row>
    <row r="75" spans="1:6" hidden="1">
      <c r="B75" s="381"/>
      <c r="C75" s="382"/>
      <c r="D75" s="381"/>
      <c r="E75" s="383"/>
      <c r="F75" s="384">
        <f t="shared" si="7"/>
        <v>0</v>
      </c>
    </row>
    <row r="76" spans="1:6" hidden="1">
      <c r="B76" s="381"/>
      <c r="C76" s="382"/>
      <c r="D76" s="381"/>
      <c r="E76" s="383"/>
      <c r="F76" s="384">
        <f t="shared" si="7"/>
        <v>0</v>
      </c>
    </row>
    <row r="77" spans="1:6" hidden="1">
      <c r="B77" s="381"/>
      <c r="C77" s="382"/>
      <c r="D77" s="381"/>
      <c r="E77" s="383"/>
      <c r="F77" s="384">
        <f t="shared" si="7"/>
        <v>0</v>
      </c>
    </row>
    <row r="78" spans="1:6" hidden="1">
      <c r="B78" s="381"/>
      <c r="C78" s="382"/>
      <c r="D78" s="381"/>
      <c r="E78" s="383"/>
      <c r="F78" s="384">
        <f t="shared" si="7"/>
        <v>0</v>
      </c>
    </row>
    <row r="79" spans="1:6">
      <c r="B79" s="381"/>
      <c r="C79" s="382"/>
      <c r="D79" s="381"/>
      <c r="E79" s="383"/>
      <c r="F79" s="384">
        <f t="shared" si="7"/>
        <v>0</v>
      </c>
    </row>
    <row r="80" spans="1:6">
      <c r="B80" s="423" t="s">
        <v>1</v>
      </c>
      <c r="C80" s="423"/>
      <c r="D80" s="423"/>
      <c r="E80" s="423"/>
      <c r="F80" s="21">
        <f>SUM(F74:F79)</f>
        <v>20000</v>
      </c>
    </row>
    <row r="81" spans="1:7">
      <c r="A81" s="414" t="s">
        <v>413</v>
      </c>
      <c r="B81" s="414"/>
      <c r="C81" s="414"/>
      <c r="D81" s="414"/>
      <c r="E81" s="414"/>
      <c r="F81" s="414"/>
      <c r="G81" s="414"/>
    </row>
    <row r="82" spans="1:7">
      <c r="A82" s="391"/>
      <c r="B82" s="391"/>
      <c r="C82" s="391"/>
      <c r="D82" s="391"/>
      <c r="E82" s="391"/>
      <c r="F82" s="391"/>
      <c r="G82" s="391"/>
    </row>
    <row r="83" spans="1:7">
      <c r="A83" s="391"/>
      <c r="B83" s="391"/>
      <c r="C83" s="391"/>
      <c r="D83" s="391"/>
      <c r="E83" s="391"/>
      <c r="F83" s="391"/>
      <c r="G83" s="391"/>
    </row>
    <row r="86" spans="1:7" ht="18.75">
      <c r="B86" s="413" t="s">
        <v>372</v>
      </c>
      <c r="C86" s="413"/>
      <c r="D86" s="413"/>
      <c r="E86" s="413"/>
      <c r="F86" s="413"/>
    </row>
    <row r="88" spans="1:7" ht="30">
      <c r="B88" s="23" t="s">
        <v>144</v>
      </c>
      <c r="C88" s="61" t="s">
        <v>128</v>
      </c>
      <c r="D88" s="61" t="s">
        <v>150</v>
      </c>
      <c r="E88" s="61" t="s">
        <v>151</v>
      </c>
      <c r="F88" s="61" t="s">
        <v>156</v>
      </c>
    </row>
    <row r="89" spans="1:7">
      <c r="B89" s="381">
        <v>1</v>
      </c>
      <c r="C89" s="382" t="s">
        <v>681</v>
      </c>
      <c r="D89" s="381">
        <v>1</v>
      </c>
      <c r="E89" s="383">
        <v>20000</v>
      </c>
      <c r="F89" s="384">
        <f t="shared" ref="F89:F91" si="8">D89*E89</f>
        <v>20000</v>
      </c>
    </row>
    <row r="90" spans="1:7">
      <c r="B90" s="381"/>
      <c r="C90" s="382"/>
      <c r="D90" s="381"/>
      <c r="E90" s="383"/>
      <c r="F90" s="384">
        <f t="shared" si="8"/>
        <v>0</v>
      </c>
    </row>
    <row r="91" spans="1:7">
      <c r="B91" s="381"/>
      <c r="C91" s="382"/>
      <c r="D91" s="381"/>
      <c r="E91" s="383"/>
      <c r="F91" s="384">
        <f t="shared" si="8"/>
        <v>0</v>
      </c>
    </row>
    <row r="92" spans="1:7">
      <c r="B92" s="423" t="s">
        <v>1</v>
      </c>
      <c r="C92" s="423"/>
      <c r="D92" s="423"/>
      <c r="E92" s="423"/>
      <c r="F92" s="21">
        <f>SUM(F89:F91)</f>
        <v>20000</v>
      </c>
    </row>
    <row r="94" spans="1:7">
      <c r="A94" s="414" t="s">
        <v>413</v>
      </c>
      <c r="B94" s="414"/>
      <c r="C94" s="414"/>
      <c r="D94" s="414"/>
      <c r="E94" s="414"/>
      <c r="F94" s="414"/>
      <c r="G94" s="414"/>
    </row>
    <row r="97" spans="1:7" ht="18.75">
      <c r="B97" s="413" t="s">
        <v>627</v>
      </c>
      <c r="C97" s="413"/>
      <c r="D97" s="413"/>
      <c r="E97" s="413"/>
      <c r="F97" s="413"/>
    </row>
    <row r="99" spans="1:7" ht="28.5">
      <c r="B99" s="213" t="s">
        <v>144</v>
      </c>
      <c r="C99" s="214" t="s">
        <v>128</v>
      </c>
      <c r="D99" s="214" t="s">
        <v>150</v>
      </c>
      <c r="E99" s="214" t="s">
        <v>151</v>
      </c>
      <c r="F99" s="214" t="s">
        <v>156</v>
      </c>
    </row>
    <row r="100" spans="1:7">
      <c r="B100" s="379"/>
      <c r="C100" s="223"/>
      <c r="D100" s="379"/>
      <c r="E100" s="385"/>
      <c r="F100" s="380">
        <f>E100*D100</f>
        <v>0</v>
      </c>
    </row>
    <row r="101" spans="1:7">
      <c r="B101" s="379"/>
      <c r="C101" s="223"/>
      <c r="D101" s="379"/>
      <c r="E101" s="385"/>
      <c r="F101" s="380">
        <f>E101*D101</f>
        <v>0</v>
      </c>
    </row>
    <row r="102" spans="1:7">
      <c r="B102" s="379"/>
      <c r="C102" s="223"/>
      <c r="D102" s="379"/>
      <c r="E102" s="385"/>
      <c r="F102" s="380">
        <f>E102*D102</f>
        <v>0</v>
      </c>
    </row>
    <row r="103" spans="1:7">
      <c r="B103" s="421" t="s">
        <v>1</v>
      </c>
      <c r="C103" s="421"/>
      <c r="D103" s="421"/>
      <c r="E103" s="421"/>
      <c r="F103" s="216">
        <f>SUM(F100:F102)</f>
        <v>0</v>
      </c>
    </row>
    <row r="104" spans="1:7">
      <c r="A104" s="422" t="s">
        <v>449</v>
      </c>
      <c r="B104" s="422"/>
      <c r="C104" s="422"/>
      <c r="D104" s="422"/>
      <c r="E104" s="422"/>
      <c r="F104" s="422"/>
      <c r="G104" s="422"/>
    </row>
    <row r="105" spans="1:7" ht="19.5" thickBot="1">
      <c r="B105" s="413" t="s">
        <v>254</v>
      </c>
      <c r="C105" s="413"/>
      <c r="D105" s="413"/>
    </row>
    <row r="106" spans="1:7" ht="29.25" thickBot="1">
      <c r="B106" s="225" t="s">
        <v>144</v>
      </c>
      <c r="C106" s="226" t="s">
        <v>128</v>
      </c>
      <c r="D106" s="226" t="s">
        <v>371</v>
      </c>
    </row>
    <row r="107" spans="1:7" ht="15.75" thickBot="1">
      <c r="B107" s="386">
        <v>1</v>
      </c>
      <c r="C107" s="387" t="s">
        <v>682</v>
      </c>
      <c r="D107" s="387">
        <v>100000</v>
      </c>
    </row>
    <row r="108" spans="1:7" ht="15.75" thickBot="1">
      <c r="B108" s="386"/>
      <c r="C108" s="387"/>
      <c r="D108" s="387"/>
    </row>
    <row r="109" spans="1:7" ht="15.75" thickBot="1">
      <c r="B109" s="386"/>
      <c r="C109" s="387"/>
      <c r="D109" s="387"/>
    </row>
    <row r="110" spans="1:7" ht="15.75" thickBot="1">
      <c r="B110" s="386"/>
      <c r="C110" s="387"/>
      <c r="D110" s="387"/>
    </row>
    <row r="111" spans="1:7" ht="15.75" thickBot="1">
      <c r="B111" s="386"/>
      <c r="C111" s="387"/>
      <c r="D111" s="387"/>
    </row>
    <row r="112" spans="1:7" ht="15.75" thickBot="1">
      <c r="B112" s="417" t="s">
        <v>1</v>
      </c>
      <c r="C112" s="418"/>
      <c r="D112" s="388">
        <f>SUM(D107:D111)</f>
        <v>100000</v>
      </c>
    </row>
    <row r="114" spans="1:5" ht="25.5" customHeight="1">
      <c r="A114" s="419" t="s">
        <v>450</v>
      </c>
      <c r="B114" s="419"/>
      <c r="C114" s="419"/>
      <c r="D114" s="419"/>
      <c r="E114" s="419"/>
    </row>
  </sheetData>
  <mergeCells count="22">
    <mergeCell ref="B12:F12"/>
    <mergeCell ref="B2:G2"/>
    <mergeCell ref="B15:G15"/>
    <mergeCell ref="B63:H63"/>
    <mergeCell ref="B62:F62"/>
    <mergeCell ref="B17:H17"/>
    <mergeCell ref="B32:C32"/>
    <mergeCell ref="B47:C47"/>
    <mergeCell ref="B54:C54"/>
    <mergeCell ref="B112:C112"/>
    <mergeCell ref="A114:E114"/>
    <mergeCell ref="B60:C60"/>
    <mergeCell ref="A94:G94"/>
    <mergeCell ref="B103:E103"/>
    <mergeCell ref="B97:F97"/>
    <mergeCell ref="A104:G104"/>
    <mergeCell ref="B105:D105"/>
    <mergeCell ref="B80:E80"/>
    <mergeCell ref="B72:F72"/>
    <mergeCell ref="A81:G81"/>
    <mergeCell ref="B92:E92"/>
    <mergeCell ref="B86:F86"/>
  </mergeCells>
  <hyperlinks>
    <hyperlink ref="C51" r:id="rId1"/>
  </hyperlinks>
  <pageMargins left="0.70866141732283472" right="0.70866141732283472" top="0.74803149606299213" bottom="0.74803149606299213" header="0.31496062992125984" footer="0.31496062992125984"/>
  <pageSetup scale="7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selection activeCell="D32" sqref="D32"/>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6" t="s">
        <v>549</v>
      </c>
      <c r="B2" s="416"/>
      <c r="C2" s="416"/>
      <c r="D2" s="416"/>
      <c r="E2" s="416"/>
      <c r="F2" s="416"/>
      <c r="G2" s="416"/>
      <c r="H2" s="416"/>
      <c r="I2" s="416"/>
      <c r="J2" s="416"/>
      <c r="K2" s="416"/>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5500</v>
      </c>
      <c r="E8" s="95">
        <f>$C8*$D8*12*E$4</f>
        <v>132000</v>
      </c>
      <c r="F8" s="95">
        <f t="shared" ref="F8:K8" si="1">$C8*$D8*12*F$4</f>
        <v>138600</v>
      </c>
      <c r="G8" s="95">
        <f t="shared" si="1"/>
        <v>145530</v>
      </c>
      <c r="H8" s="95">
        <f t="shared" si="1"/>
        <v>152806.50000000003</v>
      </c>
      <c r="I8" s="95">
        <f t="shared" si="1"/>
        <v>160446.82500000004</v>
      </c>
      <c r="J8" s="95">
        <f t="shared" si="1"/>
        <v>168469.16625000004</v>
      </c>
      <c r="K8" s="95">
        <f t="shared" si="1"/>
        <v>176892.62456250004</v>
      </c>
    </row>
    <row r="9" spans="1:11">
      <c r="A9" s="94" t="s">
        <v>187</v>
      </c>
      <c r="B9" s="94" t="s">
        <v>390</v>
      </c>
      <c r="C9" s="229">
        <v>2</v>
      </c>
      <c r="D9" s="247">
        <v>5500</v>
      </c>
      <c r="E9" s="95">
        <f>$C9*$D9*12*E$4</f>
        <v>132000</v>
      </c>
      <c r="F9" s="95">
        <f t="shared" ref="F9:K10" si="2">$C9*$D9*12*F$4</f>
        <v>138600</v>
      </c>
      <c r="G9" s="95">
        <f t="shared" si="2"/>
        <v>145530</v>
      </c>
      <c r="H9" s="95">
        <f t="shared" si="2"/>
        <v>152806.50000000003</v>
      </c>
      <c r="I9" s="95">
        <f t="shared" si="2"/>
        <v>160446.82500000004</v>
      </c>
      <c r="J9" s="95">
        <f t="shared" si="2"/>
        <v>168469.16625000004</v>
      </c>
      <c r="K9" s="95">
        <f t="shared" si="2"/>
        <v>176892.62456250004</v>
      </c>
    </row>
    <row r="10" spans="1:11">
      <c r="A10" s="94" t="s">
        <v>192</v>
      </c>
      <c r="B10" s="94" t="s">
        <v>390</v>
      </c>
      <c r="C10" s="229">
        <v>1</v>
      </c>
      <c r="D10" s="247">
        <v>5500</v>
      </c>
      <c r="E10" s="95">
        <f>$C10*$D10*12*E$4</f>
        <v>66000</v>
      </c>
      <c r="F10" s="95">
        <f t="shared" si="2"/>
        <v>69300</v>
      </c>
      <c r="G10" s="95">
        <f t="shared" si="2"/>
        <v>72765</v>
      </c>
      <c r="H10" s="95">
        <f t="shared" si="2"/>
        <v>76403.250000000015</v>
      </c>
      <c r="I10" s="95">
        <f t="shared" si="2"/>
        <v>80223.41250000002</v>
      </c>
      <c r="J10" s="95">
        <f t="shared" si="2"/>
        <v>84234.583125000019</v>
      </c>
      <c r="K10" s="95">
        <f t="shared" si="2"/>
        <v>88446.312281250022</v>
      </c>
    </row>
    <row r="11" spans="1:11">
      <c r="A11" s="94" t="s">
        <v>130</v>
      </c>
      <c r="B11" s="94" t="s">
        <v>391</v>
      </c>
      <c r="C11" s="94">
        <v>12</v>
      </c>
      <c r="D11" s="247">
        <v>5500</v>
      </c>
      <c r="E11" s="95">
        <f>$C11*$D11*E$4</f>
        <v>66000</v>
      </c>
      <c r="F11" s="95">
        <f t="shared" ref="F11:K15" si="3">$C11*$D11*F$4</f>
        <v>69300</v>
      </c>
      <c r="G11" s="95">
        <f t="shared" si="3"/>
        <v>72765</v>
      </c>
      <c r="H11" s="95">
        <f t="shared" si="3"/>
        <v>76403.250000000015</v>
      </c>
      <c r="I11" s="95">
        <f t="shared" si="3"/>
        <v>80223.41250000002</v>
      </c>
      <c r="J11" s="95">
        <f t="shared" si="3"/>
        <v>84234.583125000019</v>
      </c>
      <c r="K11" s="95">
        <f t="shared" si="3"/>
        <v>88446.312281250022</v>
      </c>
    </row>
    <row r="12" spans="1:11">
      <c r="A12" s="94" t="s">
        <v>10</v>
      </c>
      <c r="B12" s="94" t="s">
        <v>391</v>
      </c>
      <c r="C12" s="94">
        <v>12</v>
      </c>
      <c r="D12" s="247">
        <v>6500</v>
      </c>
      <c r="E12" s="95">
        <f t="shared" ref="E12:E15" si="4">$C12*$D12*E$4</f>
        <v>78000</v>
      </c>
      <c r="F12" s="95">
        <f t="shared" si="3"/>
        <v>81900</v>
      </c>
      <c r="G12" s="95">
        <f t="shared" si="3"/>
        <v>85995</v>
      </c>
      <c r="H12" s="95">
        <f t="shared" si="3"/>
        <v>90294.750000000015</v>
      </c>
      <c r="I12" s="95">
        <f t="shared" si="3"/>
        <v>94809.487500000017</v>
      </c>
      <c r="J12" s="95">
        <f t="shared" si="3"/>
        <v>99549.961875000023</v>
      </c>
      <c r="K12" s="95">
        <f t="shared" si="3"/>
        <v>104527.45996875003</v>
      </c>
    </row>
    <row r="13" spans="1:11">
      <c r="A13" s="94" t="s">
        <v>188</v>
      </c>
      <c r="B13" s="94" t="s">
        <v>391</v>
      </c>
      <c r="C13" s="94">
        <v>12</v>
      </c>
      <c r="D13" s="247">
        <v>6500</v>
      </c>
      <c r="E13" s="95">
        <f t="shared" si="4"/>
        <v>78000</v>
      </c>
      <c r="F13" s="95">
        <f t="shared" si="3"/>
        <v>81900</v>
      </c>
      <c r="G13" s="95">
        <f t="shared" si="3"/>
        <v>85995</v>
      </c>
      <c r="H13" s="95">
        <f t="shared" si="3"/>
        <v>90294.750000000015</v>
      </c>
      <c r="I13" s="95">
        <f t="shared" si="3"/>
        <v>94809.487500000017</v>
      </c>
      <c r="J13" s="95">
        <f t="shared" si="3"/>
        <v>99549.961875000023</v>
      </c>
      <c r="K13" s="95">
        <f t="shared" si="3"/>
        <v>104527.45996875003</v>
      </c>
    </row>
    <row r="14" spans="1:11">
      <c r="A14" s="94" t="s">
        <v>158</v>
      </c>
      <c r="B14" s="94" t="s">
        <v>391</v>
      </c>
      <c r="C14" s="94">
        <v>12</v>
      </c>
      <c r="D14" s="247">
        <v>6500</v>
      </c>
      <c r="E14" s="95">
        <f t="shared" si="4"/>
        <v>78000</v>
      </c>
      <c r="F14" s="95">
        <f t="shared" si="3"/>
        <v>81900</v>
      </c>
      <c r="G14" s="95">
        <f t="shared" si="3"/>
        <v>85995</v>
      </c>
      <c r="H14" s="95">
        <f t="shared" si="3"/>
        <v>90294.750000000015</v>
      </c>
      <c r="I14" s="95">
        <f t="shared" si="3"/>
        <v>94809.487500000017</v>
      </c>
      <c r="J14" s="95">
        <f t="shared" si="3"/>
        <v>99549.961875000023</v>
      </c>
      <c r="K14" s="95">
        <f t="shared" si="3"/>
        <v>104527.45996875003</v>
      </c>
    </row>
    <row r="15" spans="1:11">
      <c r="A15" s="94" t="s">
        <v>189</v>
      </c>
      <c r="B15" s="94" t="s">
        <v>391</v>
      </c>
      <c r="C15" s="94">
        <v>12</v>
      </c>
      <c r="D15" s="247">
        <v>65000</v>
      </c>
      <c r="E15" s="95">
        <f t="shared" si="4"/>
        <v>780000</v>
      </c>
      <c r="F15" s="95">
        <f t="shared" si="3"/>
        <v>819000</v>
      </c>
      <c r="G15" s="95">
        <f t="shared" si="3"/>
        <v>859950</v>
      </c>
      <c r="H15" s="95">
        <f t="shared" si="3"/>
        <v>902947.50000000012</v>
      </c>
      <c r="I15" s="95">
        <f t="shared" si="3"/>
        <v>948094.87500000023</v>
      </c>
      <c r="J15" s="95">
        <f t="shared" si="3"/>
        <v>995499.61875000026</v>
      </c>
      <c r="K15" s="95">
        <f t="shared" si="3"/>
        <v>1045274.5996875003</v>
      </c>
    </row>
    <row r="16" spans="1:11">
      <c r="A16" s="94" t="s">
        <v>190</v>
      </c>
      <c r="B16" s="94" t="s">
        <v>392</v>
      </c>
      <c r="C16" s="94">
        <v>1</v>
      </c>
      <c r="D16" s="247">
        <v>50000</v>
      </c>
      <c r="E16" s="95">
        <f>$D16*E$4*$C16</f>
        <v>50000</v>
      </c>
      <c r="F16" s="95">
        <f t="shared" ref="F16:K22" si="5">$D16*F$4*$C16</f>
        <v>52500</v>
      </c>
      <c r="G16" s="95">
        <f t="shared" si="5"/>
        <v>55125</v>
      </c>
      <c r="H16" s="95">
        <f t="shared" si="5"/>
        <v>57881.250000000007</v>
      </c>
      <c r="I16" s="95">
        <f t="shared" si="5"/>
        <v>60775.312500000015</v>
      </c>
      <c r="J16" s="95">
        <f t="shared" si="5"/>
        <v>63814.078125000015</v>
      </c>
      <c r="K16" s="95">
        <f t="shared" si="5"/>
        <v>67004.782031250026</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1460000</v>
      </c>
      <c r="F23" s="114">
        <f t="shared" ref="F23:K23" si="7">SUM(F8:F22)</f>
        <v>1533000</v>
      </c>
      <c r="G23" s="114">
        <f t="shared" si="7"/>
        <v>1609650</v>
      </c>
      <c r="H23" s="114">
        <f t="shared" si="7"/>
        <v>1690132.5000000002</v>
      </c>
      <c r="I23" s="114">
        <f t="shared" si="7"/>
        <v>1774639.1250000005</v>
      </c>
      <c r="J23" s="114">
        <f t="shared" si="7"/>
        <v>1863371.0812500003</v>
      </c>
      <c r="K23" s="114">
        <f t="shared" si="7"/>
        <v>1956539.6353125004</v>
      </c>
    </row>
    <row r="28" spans="1:17">
      <c r="A28" s="430"/>
      <c r="B28" s="430"/>
      <c r="C28" s="430"/>
      <c r="D28" s="430"/>
      <c r="E28" s="430"/>
      <c r="F28" s="430"/>
      <c r="G28" s="430"/>
      <c r="H28" s="430"/>
      <c r="I28" s="430"/>
      <c r="J28" s="430"/>
      <c r="K28" s="430"/>
      <c r="L28" s="430"/>
      <c r="M28" s="430"/>
      <c r="N28" s="430"/>
      <c r="O28" s="430"/>
    </row>
    <row r="29" spans="1:17" ht="18.75">
      <c r="A29" s="428" t="s">
        <v>699</v>
      </c>
      <c r="B29" s="428"/>
      <c r="C29" s="428"/>
      <c r="D29" s="428"/>
      <c r="E29" s="428"/>
      <c r="F29" s="428"/>
      <c r="G29" s="428"/>
      <c r="H29" s="428"/>
      <c r="I29" s="428"/>
      <c r="J29" s="428"/>
      <c r="K29" s="428"/>
      <c r="L29" s="428"/>
      <c r="M29" s="428"/>
      <c r="N29" s="428"/>
      <c r="O29" s="428"/>
      <c r="P29" s="428"/>
      <c r="Q29" s="428"/>
    </row>
    <row r="30" spans="1:17" s="13" customFormat="1">
      <c r="A30" s="148"/>
      <c r="B30" s="148"/>
      <c r="C30" s="148"/>
      <c r="D30" s="148"/>
      <c r="E30" s="148"/>
      <c r="F30" s="148"/>
      <c r="G30" s="148"/>
      <c r="H30" s="148"/>
      <c r="I30" s="148"/>
      <c r="J30" s="148"/>
      <c r="K30" s="148"/>
      <c r="L30" s="148"/>
      <c r="M30" s="148"/>
      <c r="N30" s="148"/>
      <c r="O30" s="148"/>
    </row>
    <row r="31" spans="1:17">
      <c r="A31" s="93"/>
      <c r="B31" s="93"/>
      <c r="C31" s="431" t="s">
        <v>193</v>
      </c>
      <c r="D31" s="431"/>
      <c r="E31" s="431"/>
      <c r="F31" s="431"/>
      <c r="G31" s="431"/>
      <c r="H31" s="431"/>
      <c r="I31" s="431"/>
      <c r="J31" s="93"/>
      <c r="K31" s="432" t="s">
        <v>194</v>
      </c>
      <c r="L31" s="432"/>
      <c r="M31" s="432"/>
      <c r="N31" s="432"/>
      <c r="O31" s="432"/>
      <c r="P31" s="432"/>
      <c r="Q31" s="432"/>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500000</v>
      </c>
      <c r="D37" s="166">
        <f t="shared" ref="D37:I37" si="8">C40</f>
        <v>484150</v>
      </c>
      <c r="E37" s="166">
        <f t="shared" si="8"/>
        <v>468300</v>
      </c>
      <c r="F37" s="166">
        <f t="shared" si="8"/>
        <v>452450</v>
      </c>
      <c r="G37" s="166">
        <f t="shared" si="8"/>
        <v>436600</v>
      </c>
      <c r="H37" s="166">
        <f t="shared" si="8"/>
        <v>420750</v>
      </c>
      <c r="I37" s="166">
        <f t="shared" si="8"/>
        <v>404900</v>
      </c>
      <c r="J37" s="98"/>
      <c r="K37" s="166">
        <f>C37</f>
        <v>500000</v>
      </c>
      <c r="L37" s="166">
        <f t="shared" ref="L37:Q37" si="9">K40</f>
        <v>450000</v>
      </c>
      <c r="M37" s="166">
        <f t="shared" si="9"/>
        <v>405000</v>
      </c>
      <c r="N37" s="166">
        <f t="shared" si="9"/>
        <v>364500</v>
      </c>
      <c r="O37" s="166">
        <f t="shared" si="9"/>
        <v>328050</v>
      </c>
      <c r="P37" s="166">
        <f t="shared" si="9"/>
        <v>295245</v>
      </c>
      <c r="Q37" s="166">
        <f t="shared" si="9"/>
        <v>265720.5</v>
      </c>
    </row>
    <row r="38" spans="1:17">
      <c r="A38" s="164" t="s">
        <v>17</v>
      </c>
      <c r="B38" s="164"/>
      <c r="C38" s="166">
        <f t="shared" ref="C38:I38" si="10">$C$37*$B$74</f>
        <v>15850</v>
      </c>
      <c r="D38" s="166">
        <f t="shared" si="10"/>
        <v>15850</v>
      </c>
      <c r="E38" s="166">
        <f t="shared" si="10"/>
        <v>15850</v>
      </c>
      <c r="F38" s="166">
        <f t="shared" si="10"/>
        <v>15850</v>
      </c>
      <c r="G38" s="166">
        <f t="shared" si="10"/>
        <v>15850</v>
      </c>
      <c r="H38" s="166">
        <f t="shared" si="10"/>
        <v>15850</v>
      </c>
      <c r="I38" s="166">
        <f t="shared" si="10"/>
        <v>15850</v>
      </c>
      <c r="J38" s="98"/>
      <c r="K38" s="166">
        <f t="shared" ref="K38:Q38" si="11">K37*$C$74</f>
        <v>50000</v>
      </c>
      <c r="L38" s="166">
        <f t="shared" si="11"/>
        <v>45000</v>
      </c>
      <c r="M38" s="166">
        <f t="shared" si="11"/>
        <v>40500</v>
      </c>
      <c r="N38" s="166">
        <f t="shared" si="11"/>
        <v>36450</v>
      </c>
      <c r="O38" s="166">
        <f t="shared" si="11"/>
        <v>32805</v>
      </c>
      <c r="P38" s="166">
        <f t="shared" si="11"/>
        <v>29524.5</v>
      </c>
      <c r="Q38" s="166">
        <f t="shared" si="11"/>
        <v>26572.050000000003</v>
      </c>
    </row>
    <row r="39" spans="1:17">
      <c r="A39" s="164" t="s">
        <v>197</v>
      </c>
      <c r="B39" s="164"/>
      <c r="C39" s="166">
        <f>C38</f>
        <v>15850</v>
      </c>
      <c r="D39" s="166">
        <f t="shared" ref="D39:I39" si="12">C39+D38</f>
        <v>31700</v>
      </c>
      <c r="E39" s="166">
        <f t="shared" si="12"/>
        <v>47550</v>
      </c>
      <c r="F39" s="166">
        <f t="shared" si="12"/>
        <v>63400</v>
      </c>
      <c r="G39" s="166">
        <f t="shared" si="12"/>
        <v>79250</v>
      </c>
      <c r="H39" s="166">
        <f t="shared" si="12"/>
        <v>95100</v>
      </c>
      <c r="I39" s="166">
        <f t="shared" si="12"/>
        <v>110950</v>
      </c>
      <c r="J39" s="98"/>
      <c r="K39" s="166">
        <f>K38</f>
        <v>50000</v>
      </c>
      <c r="L39" s="166">
        <f t="shared" ref="L39:Q39" si="13">K39+L38</f>
        <v>95000</v>
      </c>
      <c r="M39" s="166">
        <f t="shared" si="13"/>
        <v>135500</v>
      </c>
      <c r="N39" s="166">
        <f t="shared" si="13"/>
        <v>171950</v>
      </c>
      <c r="O39" s="166">
        <f t="shared" si="13"/>
        <v>204755</v>
      </c>
      <c r="P39" s="166">
        <f t="shared" si="13"/>
        <v>234279.5</v>
      </c>
      <c r="Q39" s="166">
        <f t="shared" si="13"/>
        <v>260851.55</v>
      </c>
    </row>
    <row r="40" spans="1:17">
      <c r="A40" s="164" t="s">
        <v>198</v>
      </c>
      <c r="B40" s="164"/>
      <c r="C40" s="166">
        <f t="shared" ref="C40:I40" si="14">C37-C38</f>
        <v>484150</v>
      </c>
      <c r="D40" s="166">
        <f t="shared" si="14"/>
        <v>468300</v>
      </c>
      <c r="E40" s="166">
        <f t="shared" si="14"/>
        <v>452450</v>
      </c>
      <c r="F40" s="166">
        <f t="shared" si="14"/>
        <v>436600</v>
      </c>
      <c r="G40" s="166">
        <f t="shared" si="14"/>
        <v>420750</v>
      </c>
      <c r="H40" s="166">
        <f t="shared" si="14"/>
        <v>404900</v>
      </c>
      <c r="I40" s="166">
        <f t="shared" si="14"/>
        <v>389050</v>
      </c>
      <c r="J40" s="98"/>
      <c r="K40" s="166">
        <f t="shared" ref="K40:Q40" si="15">K37-K38</f>
        <v>450000</v>
      </c>
      <c r="L40" s="166">
        <f t="shared" si="15"/>
        <v>405000</v>
      </c>
      <c r="M40" s="166">
        <f t="shared" si="15"/>
        <v>364500</v>
      </c>
      <c r="N40" s="166">
        <f t="shared" si="15"/>
        <v>328050</v>
      </c>
      <c r="O40" s="166">
        <f t="shared" si="15"/>
        <v>295245</v>
      </c>
      <c r="P40" s="166">
        <f t="shared" si="15"/>
        <v>265720.5</v>
      </c>
      <c r="Q40" s="166">
        <f t="shared" si="15"/>
        <v>239148.45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2360000</v>
      </c>
      <c r="D43" s="166">
        <f t="shared" ref="D43:I43" si="16">C46</f>
        <v>2210612</v>
      </c>
      <c r="E43" s="166">
        <f t="shared" si="16"/>
        <v>2061224</v>
      </c>
      <c r="F43" s="166">
        <f t="shared" si="16"/>
        <v>1911836</v>
      </c>
      <c r="G43" s="166">
        <f t="shared" si="16"/>
        <v>1762448</v>
      </c>
      <c r="H43" s="166">
        <f t="shared" si="16"/>
        <v>1613060</v>
      </c>
      <c r="I43" s="166">
        <f t="shared" si="16"/>
        <v>1463672</v>
      </c>
      <c r="J43" s="98"/>
      <c r="K43" s="166">
        <f>C43</f>
        <v>2360000</v>
      </c>
      <c r="L43" s="166">
        <f t="shared" ref="L43:Q43" si="17">K46</f>
        <v>2006000</v>
      </c>
      <c r="M43" s="166">
        <f t="shared" si="17"/>
        <v>1705100</v>
      </c>
      <c r="N43" s="166">
        <f t="shared" si="17"/>
        <v>1449335</v>
      </c>
      <c r="O43" s="166">
        <f t="shared" si="17"/>
        <v>1231934.75</v>
      </c>
      <c r="P43" s="166">
        <f t="shared" si="17"/>
        <v>1047144.5375</v>
      </c>
      <c r="Q43" s="166">
        <f t="shared" si="17"/>
        <v>890072.85687500006</v>
      </c>
    </row>
    <row r="44" spans="1:17">
      <c r="A44" s="164" t="s">
        <v>17</v>
      </c>
      <c r="B44" s="164"/>
      <c r="C44" s="166">
        <f t="shared" ref="C44:I44" si="18">$C$43*$B$78</f>
        <v>149388</v>
      </c>
      <c r="D44" s="166">
        <f t="shared" si="18"/>
        <v>149388</v>
      </c>
      <c r="E44" s="166">
        <f t="shared" si="18"/>
        <v>149388</v>
      </c>
      <c r="F44" s="166">
        <f t="shared" si="18"/>
        <v>149388</v>
      </c>
      <c r="G44" s="166">
        <f t="shared" si="18"/>
        <v>149388</v>
      </c>
      <c r="H44" s="166">
        <f t="shared" si="18"/>
        <v>149388</v>
      </c>
      <c r="I44" s="166">
        <f t="shared" si="18"/>
        <v>149388</v>
      </c>
      <c r="J44" s="98"/>
      <c r="K44" s="166">
        <f t="shared" ref="K44:Q44" si="19">K43*$C$78</f>
        <v>354000</v>
      </c>
      <c r="L44" s="166">
        <f t="shared" si="19"/>
        <v>300900</v>
      </c>
      <c r="M44" s="166">
        <f t="shared" si="19"/>
        <v>255765</v>
      </c>
      <c r="N44" s="166">
        <f t="shared" si="19"/>
        <v>217400.25</v>
      </c>
      <c r="O44" s="166">
        <f t="shared" si="19"/>
        <v>184790.21249999999</v>
      </c>
      <c r="P44" s="166">
        <f t="shared" si="19"/>
        <v>157071.68062499998</v>
      </c>
      <c r="Q44" s="166">
        <f t="shared" si="19"/>
        <v>133510.92853125001</v>
      </c>
    </row>
    <row r="45" spans="1:17">
      <c r="A45" s="164" t="s">
        <v>197</v>
      </c>
      <c r="B45" s="164"/>
      <c r="C45" s="166">
        <f>C44</f>
        <v>149388</v>
      </c>
      <c r="D45" s="166">
        <f t="shared" ref="D45:I45" si="20">C45+D44</f>
        <v>298776</v>
      </c>
      <c r="E45" s="166">
        <f t="shared" si="20"/>
        <v>448164</v>
      </c>
      <c r="F45" s="166">
        <f t="shared" si="20"/>
        <v>597552</v>
      </c>
      <c r="G45" s="166">
        <f t="shared" si="20"/>
        <v>746940</v>
      </c>
      <c r="H45" s="166">
        <f t="shared" si="20"/>
        <v>896328</v>
      </c>
      <c r="I45" s="166">
        <f t="shared" si="20"/>
        <v>1045716</v>
      </c>
      <c r="J45" s="98"/>
      <c r="K45" s="166">
        <f>K44</f>
        <v>354000</v>
      </c>
      <c r="L45" s="166">
        <f t="shared" ref="L45:Q45" si="21">K45+L44</f>
        <v>654900</v>
      </c>
      <c r="M45" s="166">
        <f t="shared" si="21"/>
        <v>910665</v>
      </c>
      <c r="N45" s="166">
        <f t="shared" si="21"/>
        <v>1128065.25</v>
      </c>
      <c r="O45" s="166">
        <f t="shared" si="21"/>
        <v>1312855.4624999999</v>
      </c>
      <c r="P45" s="166">
        <f t="shared" si="21"/>
        <v>1469927.1431249999</v>
      </c>
      <c r="Q45" s="166">
        <f t="shared" si="21"/>
        <v>1603438.0716562499</v>
      </c>
    </row>
    <row r="46" spans="1:17">
      <c r="A46" s="164" t="s">
        <v>198</v>
      </c>
      <c r="B46" s="164"/>
      <c r="C46" s="166">
        <f t="shared" ref="C46:I46" si="22">C43-C44</f>
        <v>2210612</v>
      </c>
      <c r="D46" s="166">
        <f t="shared" si="22"/>
        <v>2061224</v>
      </c>
      <c r="E46" s="166">
        <f t="shared" si="22"/>
        <v>1911836</v>
      </c>
      <c r="F46" s="166">
        <f t="shared" si="22"/>
        <v>1762448</v>
      </c>
      <c r="G46" s="166">
        <f t="shared" si="22"/>
        <v>1613060</v>
      </c>
      <c r="H46" s="166">
        <f t="shared" si="22"/>
        <v>1463672</v>
      </c>
      <c r="I46" s="166">
        <f t="shared" si="22"/>
        <v>1314284</v>
      </c>
      <c r="J46" s="98"/>
      <c r="K46" s="166">
        <f t="shared" ref="K46:Q46" si="23">K43-K44</f>
        <v>2006000</v>
      </c>
      <c r="L46" s="166">
        <f t="shared" si="23"/>
        <v>1705100</v>
      </c>
      <c r="M46" s="166">
        <f t="shared" si="23"/>
        <v>1449335</v>
      </c>
      <c r="N46" s="166">
        <f t="shared" si="23"/>
        <v>1231934.75</v>
      </c>
      <c r="O46" s="166">
        <f t="shared" si="23"/>
        <v>1047144.5375</v>
      </c>
      <c r="P46" s="166">
        <f t="shared" si="23"/>
        <v>890072.85687500006</v>
      </c>
      <c r="Q46" s="166">
        <f t="shared" si="23"/>
        <v>756561.92834375007</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20000</v>
      </c>
      <c r="D49" s="166">
        <f t="shared" ref="D49:I49" si="24">C52</f>
        <v>18000</v>
      </c>
      <c r="E49" s="166">
        <f t="shared" si="24"/>
        <v>16000</v>
      </c>
      <c r="F49" s="166">
        <f t="shared" si="24"/>
        <v>14000</v>
      </c>
      <c r="G49" s="166">
        <f t="shared" si="24"/>
        <v>12000</v>
      </c>
      <c r="H49" s="166">
        <f t="shared" si="24"/>
        <v>10000</v>
      </c>
      <c r="I49" s="166">
        <f t="shared" si="24"/>
        <v>8000</v>
      </c>
      <c r="J49" s="98"/>
      <c r="K49" s="166">
        <f>C49</f>
        <v>20000</v>
      </c>
      <c r="L49" s="166">
        <f t="shared" ref="L49:Q49" si="25">K52</f>
        <v>18000</v>
      </c>
      <c r="M49" s="166">
        <f t="shared" si="25"/>
        <v>16200</v>
      </c>
      <c r="N49" s="166">
        <f t="shared" si="25"/>
        <v>14580</v>
      </c>
      <c r="O49" s="166">
        <f t="shared" si="25"/>
        <v>13122</v>
      </c>
      <c r="P49" s="166">
        <f t="shared" si="25"/>
        <v>11809.8</v>
      </c>
      <c r="Q49" s="166">
        <f t="shared" si="25"/>
        <v>10628.82</v>
      </c>
    </row>
    <row r="50" spans="1:17">
      <c r="A50" s="164" t="s">
        <v>17</v>
      </c>
      <c r="B50" s="164"/>
      <c r="C50" s="166">
        <f t="shared" ref="C50:I50" si="26">$C$49*$B$75</f>
        <v>2000</v>
      </c>
      <c r="D50" s="166">
        <f t="shared" si="26"/>
        <v>2000</v>
      </c>
      <c r="E50" s="166">
        <f t="shared" si="26"/>
        <v>2000</v>
      </c>
      <c r="F50" s="166">
        <f t="shared" si="26"/>
        <v>2000</v>
      </c>
      <c r="G50" s="166">
        <f t="shared" si="26"/>
        <v>2000</v>
      </c>
      <c r="H50" s="166">
        <f t="shared" si="26"/>
        <v>2000</v>
      </c>
      <c r="I50" s="166">
        <f t="shared" si="26"/>
        <v>2000</v>
      </c>
      <c r="J50" s="98"/>
      <c r="K50" s="166">
        <f t="shared" ref="K50:Q50" si="27">K49*$C$75</f>
        <v>2000</v>
      </c>
      <c r="L50" s="166">
        <f t="shared" si="27"/>
        <v>1800</v>
      </c>
      <c r="M50" s="166">
        <f t="shared" si="27"/>
        <v>1620</v>
      </c>
      <c r="N50" s="166">
        <f t="shared" si="27"/>
        <v>1458</v>
      </c>
      <c r="O50" s="166">
        <f t="shared" si="27"/>
        <v>1312.2</v>
      </c>
      <c r="P50" s="166">
        <f t="shared" si="27"/>
        <v>1180.98</v>
      </c>
      <c r="Q50" s="166">
        <f t="shared" si="27"/>
        <v>1062.8820000000001</v>
      </c>
    </row>
    <row r="51" spans="1:17">
      <c r="A51" s="164" t="s">
        <v>197</v>
      </c>
      <c r="B51" s="164"/>
      <c r="C51" s="166">
        <f>C50</f>
        <v>2000</v>
      </c>
      <c r="D51" s="166">
        <f t="shared" ref="D51:I51" si="28">C51+D50</f>
        <v>4000</v>
      </c>
      <c r="E51" s="166">
        <f t="shared" si="28"/>
        <v>6000</v>
      </c>
      <c r="F51" s="166">
        <f t="shared" si="28"/>
        <v>8000</v>
      </c>
      <c r="G51" s="166">
        <f t="shared" si="28"/>
        <v>10000</v>
      </c>
      <c r="H51" s="166">
        <f t="shared" si="28"/>
        <v>12000</v>
      </c>
      <c r="I51" s="166">
        <f t="shared" si="28"/>
        <v>14000</v>
      </c>
      <c r="J51" s="98"/>
      <c r="K51" s="166">
        <f>K50</f>
        <v>2000</v>
      </c>
      <c r="L51" s="166">
        <f t="shared" ref="L51:Q51" si="29">K51+L50</f>
        <v>3800</v>
      </c>
      <c r="M51" s="166">
        <f t="shared" si="29"/>
        <v>5420</v>
      </c>
      <c r="N51" s="166">
        <f t="shared" si="29"/>
        <v>6878</v>
      </c>
      <c r="O51" s="166">
        <f t="shared" si="29"/>
        <v>8190.2</v>
      </c>
      <c r="P51" s="166">
        <f t="shared" si="29"/>
        <v>9371.18</v>
      </c>
      <c r="Q51" s="166">
        <f t="shared" si="29"/>
        <v>10434.062</v>
      </c>
    </row>
    <row r="52" spans="1:17">
      <c r="A52" s="164" t="s">
        <v>198</v>
      </c>
      <c r="B52" s="164"/>
      <c r="C52" s="166">
        <f t="shared" ref="C52:I52" si="30">C49-C50</f>
        <v>18000</v>
      </c>
      <c r="D52" s="166">
        <f t="shared" si="30"/>
        <v>16000</v>
      </c>
      <c r="E52" s="166">
        <f t="shared" si="30"/>
        <v>14000</v>
      </c>
      <c r="F52" s="166">
        <f t="shared" si="30"/>
        <v>12000</v>
      </c>
      <c r="G52" s="166">
        <f t="shared" si="30"/>
        <v>10000</v>
      </c>
      <c r="H52" s="166">
        <f t="shared" si="30"/>
        <v>8000</v>
      </c>
      <c r="I52" s="166">
        <f t="shared" si="30"/>
        <v>6000</v>
      </c>
      <c r="J52" s="98"/>
      <c r="K52" s="166">
        <f t="shared" ref="K52:Q52" si="31">K49-K50</f>
        <v>18000</v>
      </c>
      <c r="L52" s="166">
        <f t="shared" si="31"/>
        <v>16200</v>
      </c>
      <c r="M52" s="166">
        <f t="shared" si="31"/>
        <v>14580</v>
      </c>
      <c r="N52" s="166">
        <f t="shared" si="31"/>
        <v>13122</v>
      </c>
      <c r="O52" s="166">
        <f t="shared" si="31"/>
        <v>11809.8</v>
      </c>
      <c r="P52" s="166">
        <f t="shared" si="31"/>
        <v>10628.82</v>
      </c>
      <c r="Q52" s="166">
        <f t="shared" si="31"/>
        <v>9565.9380000000001</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20000</v>
      </c>
      <c r="D61" s="166">
        <f t="shared" ref="D61:I61" si="40">C64</f>
        <v>18000</v>
      </c>
      <c r="E61" s="166">
        <f t="shared" si="40"/>
        <v>16000</v>
      </c>
      <c r="F61" s="166">
        <f t="shared" si="40"/>
        <v>14000</v>
      </c>
      <c r="G61" s="166">
        <f t="shared" si="40"/>
        <v>12000</v>
      </c>
      <c r="H61" s="166">
        <f t="shared" si="40"/>
        <v>10000</v>
      </c>
      <c r="I61" s="166">
        <f t="shared" si="40"/>
        <v>8000</v>
      </c>
      <c r="J61" s="98"/>
      <c r="K61" s="166">
        <f>C61</f>
        <v>20000</v>
      </c>
      <c r="L61" s="166">
        <f t="shared" ref="L61:Q61" si="41">K64</f>
        <v>12000</v>
      </c>
      <c r="M61" s="166">
        <f t="shared" si="41"/>
        <v>7200</v>
      </c>
      <c r="N61" s="166">
        <f t="shared" si="41"/>
        <v>4320</v>
      </c>
      <c r="O61" s="166">
        <f t="shared" si="41"/>
        <v>2592</v>
      </c>
      <c r="P61" s="166">
        <f t="shared" si="41"/>
        <v>1555.2</v>
      </c>
      <c r="Q61" s="166">
        <f t="shared" si="41"/>
        <v>933.12</v>
      </c>
    </row>
    <row r="62" spans="1:17">
      <c r="A62" s="164" t="str">
        <f>A56</f>
        <v>Depreciation</v>
      </c>
      <c r="B62" s="164"/>
      <c r="C62" s="166">
        <f t="shared" ref="C62:I62" si="42">$C$61*$B$76</f>
        <v>2000</v>
      </c>
      <c r="D62" s="166">
        <f t="shared" si="42"/>
        <v>2000</v>
      </c>
      <c r="E62" s="166">
        <f t="shared" si="42"/>
        <v>2000</v>
      </c>
      <c r="F62" s="166">
        <f t="shared" si="42"/>
        <v>2000</v>
      </c>
      <c r="G62" s="166">
        <f t="shared" si="42"/>
        <v>2000</v>
      </c>
      <c r="H62" s="166">
        <f t="shared" si="42"/>
        <v>2000</v>
      </c>
      <c r="I62" s="166">
        <f t="shared" si="42"/>
        <v>2000</v>
      </c>
      <c r="J62" s="98"/>
      <c r="K62" s="166">
        <f t="shared" ref="K62:Q62" si="43">K61*$C$76</f>
        <v>8000</v>
      </c>
      <c r="L62" s="166">
        <f t="shared" si="43"/>
        <v>4800</v>
      </c>
      <c r="M62" s="166">
        <f t="shared" si="43"/>
        <v>2880</v>
      </c>
      <c r="N62" s="166">
        <f t="shared" si="43"/>
        <v>1728</v>
      </c>
      <c r="O62" s="166">
        <f t="shared" si="43"/>
        <v>1036.8</v>
      </c>
      <c r="P62" s="166">
        <f t="shared" si="43"/>
        <v>622.08000000000004</v>
      </c>
      <c r="Q62" s="166">
        <f t="shared" si="43"/>
        <v>373.24800000000005</v>
      </c>
    </row>
    <row r="63" spans="1:17">
      <c r="A63" s="164" t="str">
        <f>A57</f>
        <v>Accumulated Depreciation</v>
      </c>
      <c r="B63" s="164"/>
      <c r="C63" s="166">
        <f>C62</f>
        <v>2000</v>
      </c>
      <c r="D63" s="166">
        <f t="shared" ref="D63:I63" si="44">D62+C63</f>
        <v>4000</v>
      </c>
      <c r="E63" s="166">
        <f t="shared" si="44"/>
        <v>6000</v>
      </c>
      <c r="F63" s="166">
        <f t="shared" si="44"/>
        <v>8000</v>
      </c>
      <c r="G63" s="166">
        <f t="shared" si="44"/>
        <v>10000</v>
      </c>
      <c r="H63" s="166">
        <f t="shared" si="44"/>
        <v>12000</v>
      </c>
      <c r="I63" s="166">
        <f t="shared" si="44"/>
        <v>14000</v>
      </c>
      <c r="J63" s="98"/>
      <c r="K63" s="166">
        <f>K62</f>
        <v>8000</v>
      </c>
      <c r="L63" s="166">
        <f t="shared" ref="L63:Q63" si="45">L62+K63</f>
        <v>12800</v>
      </c>
      <c r="M63" s="166">
        <f t="shared" si="45"/>
        <v>15680</v>
      </c>
      <c r="N63" s="166">
        <f t="shared" si="45"/>
        <v>17408</v>
      </c>
      <c r="O63" s="166">
        <f t="shared" si="45"/>
        <v>18444.8</v>
      </c>
      <c r="P63" s="166">
        <f t="shared" si="45"/>
        <v>19066.88</v>
      </c>
      <c r="Q63" s="166">
        <f t="shared" si="45"/>
        <v>19440.128000000001</v>
      </c>
    </row>
    <row r="64" spans="1:17">
      <c r="A64" s="164" t="str">
        <f>A58</f>
        <v>Net Fixed Assets</v>
      </c>
      <c r="B64" s="164"/>
      <c r="C64" s="166">
        <f t="shared" ref="C64:I64" si="46">C61-C62</f>
        <v>18000</v>
      </c>
      <c r="D64" s="166">
        <f t="shared" si="46"/>
        <v>16000</v>
      </c>
      <c r="E64" s="166">
        <f t="shared" si="46"/>
        <v>14000</v>
      </c>
      <c r="F64" s="166">
        <f t="shared" si="46"/>
        <v>12000</v>
      </c>
      <c r="G64" s="166">
        <f t="shared" si="46"/>
        <v>10000</v>
      </c>
      <c r="H64" s="166">
        <f t="shared" si="46"/>
        <v>8000</v>
      </c>
      <c r="I64" s="166">
        <f t="shared" si="46"/>
        <v>6000</v>
      </c>
      <c r="J64" s="98"/>
      <c r="K64" s="166">
        <f t="shared" ref="K64:Q64" si="47">K61-K62</f>
        <v>12000</v>
      </c>
      <c r="L64" s="166">
        <f t="shared" si="47"/>
        <v>7200</v>
      </c>
      <c r="M64" s="166">
        <f t="shared" si="47"/>
        <v>4320</v>
      </c>
      <c r="N64" s="166">
        <f t="shared" si="47"/>
        <v>2592</v>
      </c>
      <c r="O64" s="166">
        <f t="shared" si="47"/>
        <v>1555.2</v>
      </c>
      <c r="P64" s="166">
        <f t="shared" si="47"/>
        <v>933.12</v>
      </c>
      <c r="Q64" s="166">
        <f t="shared" si="47"/>
        <v>559.87199999999996</v>
      </c>
    </row>
    <row r="65" spans="1:17">
      <c r="A65" s="165" t="s">
        <v>202</v>
      </c>
      <c r="B65" s="165"/>
      <c r="C65" s="167">
        <f t="shared" ref="C65:I68" si="48">C49+C43+C37+C55+C61</f>
        <v>2900000</v>
      </c>
      <c r="D65" s="167">
        <f t="shared" si="48"/>
        <v>2730762</v>
      </c>
      <c r="E65" s="167">
        <f t="shared" si="48"/>
        <v>2561524</v>
      </c>
      <c r="F65" s="167">
        <f t="shared" si="48"/>
        <v>2392286</v>
      </c>
      <c r="G65" s="167">
        <f t="shared" si="48"/>
        <v>2223048</v>
      </c>
      <c r="H65" s="167">
        <f t="shared" si="48"/>
        <v>2053810</v>
      </c>
      <c r="I65" s="167">
        <f t="shared" si="48"/>
        <v>1884572</v>
      </c>
      <c r="J65" s="98"/>
      <c r="K65" s="167">
        <f t="shared" ref="K65:Q68" si="49">K49+K43+K37+K55+K61</f>
        <v>2900000</v>
      </c>
      <c r="L65" s="167">
        <f t="shared" si="49"/>
        <v>2486000</v>
      </c>
      <c r="M65" s="167">
        <f t="shared" si="49"/>
        <v>2133500</v>
      </c>
      <c r="N65" s="167">
        <f t="shared" si="49"/>
        <v>1832735</v>
      </c>
      <c r="O65" s="167">
        <f t="shared" si="49"/>
        <v>1575698.75</v>
      </c>
      <c r="P65" s="167">
        <f t="shared" si="49"/>
        <v>1355754.5374999999</v>
      </c>
      <c r="Q65" s="167">
        <f t="shared" si="49"/>
        <v>1167355.296875</v>
      </c>
    </row>
    <row r="66" spans="1:17">
      <c r="A66" s="165" t="s">
        <v>203</v>
      </c>
      <c r="B66" s="165"/>
      <c r="C66" s="167">
        <f t="shared" si="48"/>
        <v>169238</v>
      </c>
      <c r="D66" s="167">
        <f t="shared" si="48"/>
        <v>169238</v>
      </c>
      <c r="E66" s="167">
        <f t="shared" si="48"/>
        <v>169238</v>
      </c>
      <c r="F66" s="167">
        <f t="shared" si="48"/>
        <v>169238</v>
      </c>
      <c r="G66" s="167">
        <f t="shared" si="48"/>
        <v>169238</v>
      </c>
      <c r="H66" s="167">
        <f t="shared" si="48"/>
        <v>169238</v>
      </c>
      <c r="I66" s="167">
        <f t="shared" si="48"/>
        <v>169238</v>
      </c>
      <c r="J66" s="98"/>
      <c r="K66" s="167">
        <f t="shared" si="49"/>
        <v>414000</v>
      </c>
      <c r="L66" s="167">
        <f t="shared" si="49"/>
        <v>352500</v>
      </c>
      <c r="M66" s="167">
        <f t="shared" si="49"/>
        <v>300765</v>
      </c>
      <c r="N66" s="167">
        <f t="shared" si="49"/>
        <v>257036.25</v>
      </c>
      <c r="O66" s="167">
        <f t="shared" si="49"/>
        <v>219944.21249999999</v>
      </c>
      <c r="P66" s="167">
        <f t="shared" si="49"/>
        <v>188399.24062499998</v>
      </c>
      <c r="Q66" s="167">
        <f t="shared" si="49"/>
        <v>161519.10853125001</v>
      </c>
    </row>
    <row r="67" spans="1:17">
      <c r="A67" s="165" t="s">
        <v>204</v>
      </c>
      <c r="B67" s="165"/>
      <c r="C67" s="167">
        <f t="shared" si="48"/>
        <v>169238</v>
      </c>
      <c r="D67" s="167">
        <f t="shared" si="48"/>
        <v>338476</v>
      </c>
      <c r="E67" s="167">
        <f t="shared" si="48"/>
        <v>507714</v>
      </c>
      <c r="F67" s="167">
        <f t="shared" si="48"/>
        <v>676952</v>
      </c>
      <c r="G67" s="167">
        <f t="shared" si="48"/>
        <v>846190</v>
      </c>
      <c r="H67" s="167">
        <f t="shared" si="48"/>
        <v>1015428</v>
      </c>
      <c r="I67" s="167">
        <f t="shared" si="48"/>
        <v>1184666</v>
      </c>
      <c r="J67" s="98"/>
      <c r="K67" s="167">
        <f t="shared" si="49"/>
        <v>414000</v>
      </c>
      <c r="L67" s="167">
        <f t="shared" si="49"/>
        <v>766500</v>
      </c>
      <c r="M67" s="167">
        <f t="shared" si="49"/>
        <v>1067265</v>
      </c>
      <c r="N67" s="167">
        <f t="shared" si="49"/>
        <v>1324301.25</v>
      </c>
      <c r="O67" s="167">
        <f t="shared" si="49"/>
        <v>1544245.4624999999</v>
      </c>
      <c r="P67" s="167">
        <f t="shared" si="49"/>
        <v>1732644.7031249998</v>
      </c>
      <c r="Q67" s="167">
        <f t="shared" si="49"/>
        <v>1894163.8116562499</v>
      </c>
    </row>
    <row r="68" spans="1:17">
      <c r="A68" s="165" t="s">
        <v>198</v>
      </c>
      <c r="B68" s="165"/>
      <c r="C68" s="167">
        <f t="shared" si="48"/>
        <v>2730762</v>
      </c>
      <c r="D68" s="167">
        <f t="shared" si="48"/>
        <v>2561524</v>
      </c>
      <c r="E68" s="167">
        <f t="shared" si="48"/>
        <v>2392286</v>
      </c>
      <c r="F68" s="167">
        <f t="shared" si="48"/>
        <v>2223048</v>
      </c>
      <c r="G68" s="167">
        <f t="shared" si="48"/>
        <v>2053810</v>
      </c>
      <c r="H68" s="167">
        <f t="shared" si="48"/>
        <v>1884572</v>
      </c>
      <c r="I68" s="167">
        <f t="shared" si="48"/>
        <v>1715334</v>
      </c>
      <c r="J68" s="98"/>
      <c r="K68" s="167">
        <f t="shared" si="49"/>
        <v>2486000</v>
      </c>
      <c r="L68" s="167">
        <f t="shared" si="49"/>
        <v>2133500</v>
      </c>
      <c r="M68" s="167">
        <f t="shared" si="49"/>
        <v>1832735</v>
      </c>
      <c r="N68" s="167">
        <f t="shared" si="49"/>
        <v>1575698.75</v>
      </c>
      <c r="O68" s="167">
        <f t="shared" si="49"/>
        <v>1355754.5374999999</v>
      </c>
      <c r="P68" s="167">
        <f t="shared" si="49"/>
        <v>1167355.296875</v>
      </c>
      <c r="Q68" s="167">
        <f t="shared" si="49"/>
        <v>1005836.1883437501</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3" t="s">
        <v>704</v>
      </c>
      <c r="B83" s="413"/>
      <c r="C83" s="413"/>
      <c r="D83" s="413"/>
      <c r="E83" s="413"/>
      <c r="F83" s="413"/>
      <c r="G83" s="413"/>
      <c r="H83" s="413"/>
      <c r="I83" s="413"/>
      <c r="J83" s="413"/>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20000</v>
      </c>
      <c r="D86" s="157">
        <f>'1.Project Cost and MOF'!$D$11/5</f>
        <v>20000</v>
      </c>
      <c r="E86" s="157">
        <f>'1.Project Cost and MOF'!$D$11/5</f>
        <v>20000</v>
      </c>
      <c r="F86" s="157">
        <f>'1.Project Cost and MOF'!$D$11/5</f>
        <v>20000</v>
      </c>
      <c r="G86" s="157">
        <f>'1.Project Cost and MOF'!$D$11/5</f>
        <v>20000</v>
      </c>
      <c r="H86" s="157">
        <v>0</v>
      </c>
      <c r="I86" s="157">
        <v>0</v>
      </c>
      <c r="J86" s="38"/>
      <c r="K86" s="38"/>
      <c r="L86" s="38"/>
    </row>
    <row r="87" spans="1:12" s="65" customFormat="1">
      <c r="A87" s="158" t="s">
        <v>340</v>
      </c>
      <c r="B87" s="159"/>
      <c r="C87" s="160">
        <f t="shared" ref="C87:I87" si="50">SUM(C85:C86)</f>
        <v>20000</v>
      </c>
      <c r="D87" s="160">
        <f t="shared" si="50"/>
        <v>20000</v>
      </c>
      <c r="E87" s="160">
        <f t="shared" si="50"/>
        <v>20000</v>
      </c>
      <c r="F87" s="160">
        <f t="shared" si="50"/>
        <v>20000</v>
      </c>
      <c r="G87" s="160">
        <f t="shared" si="50"/>
        <v>20000</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8" t="s">
        <v>550</v>
      </c>
      <c r="B92" s="428"/>
      <c r="C92" s="428"/>
      <c r="D92" s="428"/>
      <c r="E92" s="428"/>
      <c r="F92" s="428"/>
      <c r="G92" s="428"/>
      <c r="H92" s="428"/>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-1364598.156685655</v>
      </c>
      <c r="C95" s="150">
        <f>'6.Cons Profit &amp; Loss'!C47</f>
        <v>859254.21457166993</v>
      </c>
      <c r="D95" s="150">
        <f>'6.Cons Profit &amp; Loss'!D47</f>
        <v>1834019.0067201809</v>
      </c>
      <c r="E95" s="150">
        <f>'6.Cons Profit &amp; Loss'!E47</f>
        <v>2903639.047547102</v>
      </c>
      <c r="F95" s="150">
        <f>'6.Cons Profit &amp; Loss'!F47</f>
        <v>4075162.9499399359</v>
      </c>
      <c r="G95" s="150">
        <f>'6.Cons Profit &amp; Loss'!G47</f>
        <v>5376107.0499531589</v>
      </c>
      <c r="H95" s="150">
        <f>'6.Cons Profit &amp; Loss'!H47</f>
        <v>6774484.5575928763</v>
      </c>
      <c r="I95" s="37"/>
      <c r="J95" s="37"/>
      <c r="K95" s="37"/>
    </row>
    <row r="96" spans="1:12">
      <c r="A96" s="87" t="s">
        <v>227</v>
      </c>
      <c r="B96" s="150">
        <f>'6.Cons Profit &amp; Loss'!B40</f>
        <v>169238</v>
      </c>
      <c r="C96" s="150">
        <f>'6.Cons Profit &amp; Loss'!C40</f>
        <v>169238</v>
      </c>
      <c r="D96" s="150">
        <f>'6.Cons Profit &amp; Loss'!D40</f>
        <v>169238</v>
      </c>
      <c r="E96" s="150">
        <f>'6.Cons Profit &amp; Loss'!E40</f>
        <v>169238</v>
      </c>
      <c r="F96" s="150">
        <f>'6.Cons Profit &amp; Loss'!F40</f>
        <v>169238</v>
      </c>
      <c r="G96" s="150">
        <f>'6.Cons Profit &amp; Loss'!G40</f>
        <v>169238</v>
      </c>
      <c r="H96" s="150">
        <f>'6.Cons Profit &amp; Loss'!H40</f>
        <v>169238</v>
      </c>
      <c r="I96" s="37"/>
      <c r="J96" s="37"/>
      <c r="K96" s="37"/>
    </row>
    <row r="97" spans="1:11">
      <c r="A97" s="87" t="s">
        <v>228</v>
      </c>
      <c r="B97" s="150">
        <f>'3.Other Exp &amp; Taxes'!K66</f>
        <v>414000</v>
      </c>
      <c r="C97" s="150">
        <f>'3.Other Exp &amp; Taxes'!L66</f>
        <v>352500</v>
      </c>
      <c r="D97" s="150">
        <f>'3.Other Exp &amp; Taxes'!M66</f>
        <v>300765</v>
      </c>
      <c r="E97" s="150">
        <f>'3.Other Exp &amp; Taxes'!N66</f>
        <v>257036.25</v>
      </c>
      <c r="F97" s="150">
        <f>'3.Other Exp &amp; Taxes'!O66</f>
        <v>219944.21249999999</v>
      </c>
      <c r="G97" s="150">
        <f>'3.Other Exp &amp; Taxes'!P66</f>
        <v>188399.24062499998</v>
      </c>
      <c r="H97" s="150">
        <f>'3.Other Exp &amp; Taxes'!Q66</f>
        <v>161519.10853125001</v>
      </c>
      <c r="I97" s="37"/>
      <c r="J97" s="37"/>
      <c r="K97" s="37"/>
    </row>
    <row r="98" spans="1:11">
      <c r="A98" s="87" t="s">
        <v>289</v>
      </c>
      <c r="B98" s="150">
        <f t="shared" ref="B98:H98" si="51">B95+B96-B97</f>
        <v>-1609360.156685655</v>
      </c>
      <c r="C98" s="150">
        <f t="shared" si="51"/>
        <v>675992.21457166993</v>
      </c>
      <c r="D98" s="150">
        <f t="shared" si="51"/>
        <v>1702492.0067201809</v>
      </c>
      <c r="E98" s="150">
        <f t="shared" si="51"/>
        <v>2815840.797547102</v>
      </c>
      <c r="F98" s="150">
        <f t="shared" si="51"/>
        <v>4024456.7374399365</v>
      </c>
      <c r="G98" s="150">
        <f t="shared" si="51"/>
        <v>5356945.8093281593</v>
      </c>
      <c r="H98" s="150">
        <f t="shared" si="51"/>
        <v>6782203.4490616266</v>
      </c>
      <c r="I98" s="37"/>
      <c r="J98" s="37"/>
      <c r="K98" s="37"/>
    </row>
    <row r="99" spans="1:11">
      <c r="A99" s="89" t="s">
        <v>229</v>
      </c>
      <c r="B99" s="151">
        <f t="shared" ref="B99:H99" si="52">B98*$B$102</f>
        <v>-402340.03917141375</v>
      </c>
      <c r="C99" s="151">
        <f t="shared" si="52"/>
        <v>168998.05364291748</v>
      </c>
      <c r="D99" s="151">
        <f t="shared" si="52"/>
        <v>425623.00168004521</v>
      </c>
      <c r="E99" s="151">
        <f t="shared" si="52"/>
        <v>703960.19938677549</v>
      </c>
      <c r="F99" s="151">
        <f t="shared" si="52"/>
        <v>1006114.1843599841</v>
      </c>
      <c r="G99" s="151">
        <f t="shared" si="52"/>
        <v>1339236.4523320398</v>
      </c>
      <c r="H99" s="151">
        <f t="shared" si="52"/>
        <v>1695550.8622654066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9" t="s">
        <v>423</v>
      </c>
      <c r="B104" s="429"/>
      <c r="C104" s="429"/>
      <c r="D104" s="429"/>
      <c r="E104" s="429"/>
      <c r="F104" s="429"/>
      <c r="G104" s="429"/>
      <c r="H104" s="429"/>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6" sqref="D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6" t="s">
        <v>705</v>
      </c>
      <c r="B2" s="416"/>
      <c r="C2" s="416"/>
      <c r="D2" s="416"/>
      <c r="E2" s="416"/>
      <c r="F2" s="416"/>
      <c r="G2" s="433"/>
    </row>
    <row r="3" spans="1:7">
      <c r="B3" s="15"/>
      <c r="C3" s="15"/>
      <c r="D3" s="15"/>
      <c r="E3" s="15"/>
      <c r="F3" s="15"/>
      <c r="G3" s="15"/>
    </row>
    <row r="4" spans="1:7">
      <c r="A4" s="93"/>
      <c r="B4" s="93"/>
      <c r="C4" s="93" t="s">
        <v>469</v>
      </c>
      <c r="D4" s="111">
        <f>'1.Project Cost and MOF'!E21</f>
        <v>0</v>
      </c>
      <c r="E4" s="93"/>
      <c r="F4" s="93"/>
      <c r="G4" s="93"/>
    </row>
    <row r="5" spans="1:7">
      <c r="A5" s="93"/>
      <c r="B5" s="93"/>
      <c r="C5" s="93" t="s">
        <v>470</v>
      </c>
      <c r="D5" s="264">
        <v>0.12</v>
      </c>
      <c r="E5" s="93"/>
      <c r="F5" s="93"/>
      <c r="G5" s="93"/>
    </row>
    <row r="6" spans="1:7">
      <c r="A6" s="93"/>
      <c r="B6" s="93"/>
      <c r="C6" s="93" t="s">
        <v>471</v>
      </c>
      <c r="D6" s="265">
        <v>4</v>
      </c>
      <c r="E6" s="93"/>
      <c r="F6" s="93"/>
      <c r="G6" s="93"/>
    </row>
    <row r="7" spans="1:7">
      <c r="A7" s="93"/>
      <c r="B7" s="93"/>
      <c r="C7" s="93" t="s">
        <v>472</v>
      </c>
      <c r="D7" s="265">
        <v>12</v>
      </c>
      <c r="E7" s="93"/>
      <c r="F7" s="93"/>
      <c r="G7" s="93"/>
    </row>
    <row r="8" spans="1:7">
      <c r="A8" s="93"/>
      <c r="B8" s="93"/>
      <c r="C8" s="93" t="s">
        <v>22</v>
      </c>
      <c r="D8" s="210">
        <f>PMT(D5/12,(D6-(D7/12))*12,-D4)</f>
        <v>0</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0</v>
      </c>
      <c r="D10" s="95">
        <f t="shared" ref="D10:D41" si="0">C10*$D$5/12</f>
        <v>0</v>
      </c>
      <c r="E10" s="95">
        <f t="shared" ref="E10:E15" si="1">F10-D10</f>
        <v>0</v>
      </c>
      <c r="F10" s="95">
        <f>D10</f>
        <v>0</v>
      </c>
      <c r="G10" s="95">
        <f>C10-E10</f>
        <v>0</v>
      </c>
    </row>
    <row r="11" spans="1:7">
      <c r="A11" s="94"/>
      <c r="B11" s="94" t="s">
        <v>53</v>
      </c>
      <c r="C11" s="95">
        <f>G10</f>
        <v>0</v>
      </c>
      <c r="D11" s="95">
        <f t="shared" si="0"/>
        <v>0</v>
      </c>
      <c r="E11" s="95">
        <f t="shared" si="1"/>
        <v>0</v>
      </c>
      <c r="F11" s="95">
        <f t="shared" ref="F11:F15" si="2">D11</f>
        <v>0</v>
      </c>
      <c r="G11" s="95">
        <f t="shared" ref="G11:G74" si="3">C11-E11</f>
        <v>0</v>
      </c>
    </row>
    <row r="12" spans="1:7">
      <c r="A12" s="94"/>
      <c r="B12" s="94" t="s">
        <v>54</v>
      </c>
      <c r="C12" s="95">
        <f t="shared" ref="C12:C75" si="4">G11</f>
        <v>0</v>
      </c>
      <c r="D12" s="95">
        <f t="shared" si="0"/>
        <v>0</v>
      </c>
      <c r="E12" s="95">
        <f t="shared" si="1"/>
        <v>0</v>
      </c>
      <c r="F12" s="95">
        <f t="shared" si="2"/>
        <v>0</v>
      </c>
      <c r="G12" s="95">
        <f t="shared" si="3"/>
        <v>0</v>
      </c>
    </row>
    <row r="13" spans="1:7">
      <c r="A13" s="94"/>
      <c r="B13" s="94" t="s">
        <v>55</v>
      </c>
      <c r="C13" s="95">
        <f t="shared" si="4"/>
        <v>0</v>
      </c>
      <c r="D13" s="95">
        <f t="shared" si="0"/>
        <v>0</v>
      </c>
      <c r="E13" s="95">
        <f t="shared" si="1"/>
        <v>0</v>
      </c>
      <c r="F13" s="95">
        <f t="shared" si="2"/>
        <v>0</v>
      </c>
      <c r="G13" s="95">
        <f t="shared" si="3"/>
        <v>0</v>
      </c>
    </row>
    <row r="14" spans="1:7">
      <c r="A14" s="94"/>
      <c r="B14" s="94" t="s">
        <v>56</v>
      </c>
      <c r="C14" s="95">
        <f t="shared" si="4"/>
        <v>0</v>
      </c>
      <c r="D14" s="95">
        <f t="shared" si="0"/>
        <v>0</v>
      </c>
      <c r="E14" s="95">
        <f t="shared" si="1"/>
        <v>0</v>
      </c>
      <c r="F14" s="95">
        <f t="shared" si="2"/>
        <v>0</v>
      </c>
      <c r="G14" s="95">
        <f t="shared" si="3"/>
        <v>0</v>
      </c>
    </row>
    <row r="15" spans="1:7">
      <c r="A15" s="94"/>
      <c r="B15" s="94" t="s">
        <v>57</v>
      </c>
      <c r="C15" s="95">
        <f t="shared" si="4"/>
        <v>0</v>
      </c>
      <c r="D15" s="95">
        <f t="shared" si="0"/>
        <v>0</v>
      </c>
      <c r="E15" s="95">
        <f t="shared" si="1"/>
        <v>0</v>
      </c>
      <c r="F15" s="95">
        <f t="shared" si="2"/>
        <v>0</v>
      </c>
      <c r="G15" s="95">
        <f t="shared" si="3"/>
        <v>0</v>
      </c>
    </row>
    <row r="16" spans="1:7">
      <c r="A16" s="94"/>
      <c r="B16" s="94" t="s">
        <v>58</v>
      </c>
      <c r="C16" s="95">
        <f t="shared" si="4"/>
        <v>0</v>
      </c>
      <c r="D16" s="95">
        <f t="shared" si="0"/>
        <v>0</v>
      </c>
      <c r="E16" s="95">
        <f>F16-D16</f>
        <v>0</v>
      </c>
      <c r="F16" s="95">
        <f t="shared" ref="F16:F74" si="5">$D$8</f>
        <v>0</v>
      </c>
      <c r="G16" s="95">
        <f t="shared" si="3"/>
        <v>0</v>
      </c>
    </row>
    <row r="17" spans="1:9">
      <c r="A17" s="94"/>
      <c r="B17" s="94" t="s">
        <v>59</v>
      </c>
      <c r="C17" s="95">
        <f t="shared" si="4"/>
        <v>0</v>
      </c>
      <c r="D17" s="95">
        <f t="shared" si="0"/>
        <v>0</v>
      </c>
      <c r="E17" s="95">
        <f t="shared" ref="E17:E80" si="6">F17-D17</f>
        <v>0</v>
      </c>
      <c r="F17" s="95">
        <f t="shared" si="5"/>
        <v>0</v>
      </c>
      <c r="G17" s="95">
        <f t="shared" si="3"/>
        <v>0</v>
      </c>
    </row>
    <row r="18" spans="1:9">
      <c r="A18" s="94"/>
      <c r="B18" s="94" t="s">
        <v>60</v>
      </c>
      <c r="C18" s="95">
        <f t="shared" si="4"/>
        <v>0</v>
      </c>
      <c r="D18" s="95">
        <f t="shared" si="0"/>
        <v>0</v>
      </c>
      <c r="E18" s="95">
        <f t="shared" si="6"/>
        <v>0</v>
      </c>
      <c r="F18" s="95">
        <f t="shared" si="5"/>
        <v>0</v>
      </c>
      <c r="G18" s="95">
        <f t="shared" si="3"/>
        <v>0</v>
      </c>
    </row>
    <row r="19" spans="1:9">
      <c r="A19" s="94"/>
      <c r="B19" s="94" t="s">
        <v>61</v>
      </c>
      <c r="C19" s="95">
        <f t="shared" si="4"/>
        <v>0</v>
      </c>
      <c r="D19" s="95">
        <f t="shared" si="0"/>
        <v>0</v>
      </c>
      <c r="E19" s="95">
        <f t="shared" si="6"/>
        <v>0</v>
      </c>
      <c r="F19" s="95">
        <f t="shared" si="5"/>
        <v>0</v>
      </c>
      <c r="G19" s="95">
        <f t="shared" si="3"/>
        <v>0</v>
      </c>
    </row>
    <row r="20" spans="1:9">
      <c r="A20" s="94"/>
      <c r="B20" s="94" t="s">
        <v>62</v>
      </c>
      <c r="C20" s="95">
        <f t="shared" si="4"/>
        <v>0</v>
      </c>
      <c r="D20" s="95">
        <f t="shared" si="0"/>
        <v>0</v>
      </c>
      <c r="E20" s="95">
        <f t="shared" si="6"/>
        <v>0</v>
      </c>
      <c r="F20" s="95">
        <f t="shared" si="5"/>
        <v>0</v>
      </c>
      <c r="G20" s="95">
        <f t="shared" si="3"/>
        <v>0</v>
      </c>
    </row>
    <row r="21" spans="1:9">
      <c r="A21" s="94"/>
      <c r="B21" s="94" t="s">
        <v>63</v>
      </c>
      <c r="C21" s="95">
        <f t="shared" si="4"/>
        <v>0</v>
      </c>
      <c r="D21" s="95">
        <f t="shared" si="0"/>
        <v>0</v>
      </c>
      <c r="E21" s="95">
        <f t="shared" si="6"/>
        <v>0</v>
      </c>
      <c r="F21" s="95">
        <f t="shared" si="5"/>
        <v>0</v>
      </c>
      <c r="G21" s="95">
        <f t="shared" si="3"/>
        <v>0</v>
      </c>
      <c r="H21" s="1"/>
      <c r="I21" s="1"/>
    </row>
    <row r="22" spans="1:9">
      <c r="A22" s="94" t="s">
        <v>12</v>
      </c>
      <c r="B22" s="94" t="s">
        <v>64</v>
      </c>
      <c r="C22" s="95">
        <f t="shared" si="4"/>
        <v>0</v>
      </c>
      <c r="D22" s="95">
        <f t="shared" si="0"/>
        <v>0</v>
      </c>
      <c r="E22" s="95">
        <f t="shared" si="6"/>
        <v>0</v>
      </c>
      <c r="F22" s="95">
        <f t="shared" si="5"/>
        <v>0</v>
      </c>
      <c r="G22" s="95">
        <f t="shared" si="3"/>
        <v>0</v>
      </c>
    </row>
    <row r="23" spans="1:9">
      <c r="A23" s="94"/>
      <c r="B23" s="94" t="s">
        <v>65</v>
      </c>
      <c r="C23" s="95">
        <f t="shared" si="4"/>
        <v>0</v>
      </c>
      <c r="D23" s="95">
        <f t="shared" si="0"/>
        <v>0</v>
      </c>
      <c r="E23" s="95">
        <f t="shared" si="6"/>
        <v>0</v>
      </c>
      <c r="F23" s="95">
        <f t="shared" si="5"/>
        <v>0</v>
      </c>
      <c r="G23" s="95">
        <f t="shared" si="3"/>
        <v>0</v>
      </c>
    </row>
    <row r="24" spans="1:9">
      <c r="A24" s="94"/>
      <c r="B24" s="94" t="s">
        <v>66</v>
      </c>
      <c r="C24" s="95">
        <f t="shared" si="4"/>
        <v>0</v>
      </c>
      <c r="D24" s="95">
        <f t="shared" si="0"/>
        <v>0</v>
      </c>
      <c r="E24" s="95">
        <f t="shared" si="6"/>
        <v>0</v>
      </c>
      <c r="F24" s="95">
        <f t="shared" si="5"/>
        <v>0</v>
      </c>
      <c r="G24" s="95">
        <f t="shared" si="3"/>
        <v>0</v>
      </c>
    </row>
    <row r="25" spans="1:9">
      <c r="A25" s="94"/>
      <c r="B25" s="94" t="s">
        <v>67</v>
      </c>
      <c r="C25" s="95">
        <f t="shared" si="4"/>
        <v>0</v>
      </c>
      <c r="D25" s="95">
        <f t="shared" si="0"/>
        <v>0</v>
      </c>
      <c r="E25" s="95">
        <f t="shared" si="6"/>
        <v>0</v>
      </c>
      <c r="F25" s="95">
        <f t="shared" si="5"/>
        <v>0</v>
      </c>
      <c r="G25" s="95">
        <f t="shared" si="3"/>
        <v>0</v>
      </c>
    </row>
    <row r="26" spans="1:9">
      <c r="A26" s="94"/>
      <c r="B26" s="94" t="s">
        <v>68</v>
      </c>
      <c r="C26" s="95">
        <f t="shared" si="4"/>
        <v>0</v>
      </c>
      <c r="D26" s="95">
        <f t="shared" si="0"/>
        <v>0</v>
      </c>
      <c r="E26" s="95">
        <f t="shared" si="6"/>
        <v>0</v>
      </c>
      <c r="F26" s="95">
        <f t="shared" si="5"/>
        <v>0</v>
      </c>
      <c r="G26" s="95">
        <f t="shared" si="3"/>
        <v>0</v>
      </c>
    </row>
    <row r="27" spans="1:9">
      <c r="A27" s="94"/>
      <c r="B27" s="94" t="s">
        <v>69</v>
      </c>
      <c r="C27" s="95">
        <f t="shared" si="4"/>
        <v>0</v>
      </c>
      <c r="D27" s="95">
        <f t="shared" si="0"/>
        <v>0</v>
      </c>
      <c r="E27" s="95">
        <f t="shared" si="6"/>
        <v>0</v>
      </c>
      <c r="F27" s="95">
        <f t="shared" si="5"/>
        <v>0</v>
      </c>
      <c r="G27" s="95">
        <f t="shared" si="3"/>
        <v>0</v>
      </c>
    </row>
    <row r="28" spans="1:9">
      <c r="A28" s="94"/>
      <c r="B28" s="94" t="s">
        <v>70</v>
      </c>
      <c r="C28" s="95">
        <f t="shared" si="4"/>
        <v>0</v>
      </c>
      <c r="D28" s="95">
        <f t="shared" si="0"/>
        <v>0</v>
      </c>
      <c r="E28" s="95">
        <f t="shared" si="6"/>
        <v>0</v>
      </c>
      <c r="F28" s="95">
        <f t="shared" si="5"/>
        <v>0</v>
      </c>
      <c r="G28" s="95">
        <f t="shared" si="3"/>
        <v>0</v>
      </c>
    </row>
    <row r="29" spans="1:9">
      <c r="A29" s="94"/>
      <c r="B29" s="94" t="s">
        <v>71</v>
      </c>
      <c r="C29" s="95">
        <f t="shared" si="4"/>
        <v>0</v>
      </c>
      <c r="D29" s="95">
        <f t="shared" si="0"/>
        <v>0</v>
      </c>
      <c r="E29" s="95">
        <f t="shared" si="6"/>
        <v>0</v>
      </c>
      <c r="F29" s="95">
        <f t="shared" si="5"/>
        <v>0</v>
      </c>
      <c r="G29" s="95">
        <f t="shared" si="3"/>
        <v>0</v>
      </c>
    </row>
    <row r="30" spans="1:9">
      <c r="A30" s="94"/>
      <c r="B30" s="94" t="s">
        <v>72</v>
      </c>
      <c r="C30" s="95">
        <f t="shared" si="4"/>
        <v>0</v>
      </c>
      <c r="D30" s="95">
        <f t="shared" si="0"/>
        <v>0</v>
      </c>
      <c r="E30" s="95">
        <f t="shared" si="6"/>
        <v>0</v>
      </c>
      <c r="F30" s="95">
        <f t="shared" si="5"/>
        <v>0</v>
      </c>
      <c r="G30" s="95">
        <f t="shared" si="3"/>
        <v>0</v>
      </c>
    </row>
    <row r="31" spans="1:9">
      <c r="A31" s="94"/>
      <c r="B31" s="94" t="s">
        <v>73</v>
      </c>
      <c r="C31" s="95">
        <f t="shared" si="4"/>
        <v>0</v>
      </c>
      <c r="D31" s="95">
        <f t="shared" si="0"/>
        <v>0</v>
      </c>
      <c r="E31" s="95">
        <f t="shared" si="6"/>
        <v>0</v>
      </c>
      <c r="F31" s="95">
        <f t="shared" si="5"/>
        <v>0</v>
      </c>
      <c r="G31" s="95">
        <f t="shared" si="3"/>
        <v>0</v>
      </c>
    </row>
    <row r="32" spans="1:9">
      <c r="A32" s="94"/>
      <c r="B32" s="94" t="s">
        <v>74</v>
      </c>
      <c r="C32" s="95">
        <f t="shared" si="4"/>
        <v>0</v>
      </c>
      <c r="D32" s="95">
        <f t="shared" si="0"/>
        <v>0</v>
      </c>
      <c r="E32" s="95">
        <f t="shared" si="6"/>
        <v>0</v>
      </c>
      <c r="F32" s="95">
        <f t="shared" si="5"/>
        <v>0</v>
      </c>
      <c r="G32" s="95">
        <f t="shared" si="3"/>
        <v>0</v>
      </c>
    </row>
    <row r="33" spans="1:9">
      <c r="A33" s="94"/>
      <c r="B33" s="94" t="s">
        <v>75</v>
      </c>
      <c r="C33" s="95">
        <f t="shared" si="4"/>
        <v>0</v>
      </c>
      <c r="D33" s="95">
        <f t="shared" si="0"/>
        <v>0</v>
      </c>
      <c r="E33" s="95">
        <f t="shared" si="6"/>
        <v>0</v>
      </c>
      <c r="F33" s="95">
        <f t="shared" si="5"/>
        <v>0</v>
      </c>
      <c r="G33" s="95">
        <f t="shared" si="3"/>
        <v>0</v>
      </c>
      <c r="H33" s="1"/>
      <c r="I33" s="1"/>
    </row>
    <row r="34" spans="1:9">
      <c r="A34" s="94" t="s">
        <v>13</v>
      </c>
      <c r="B34" s="94" t="s">
        <v>76</v>
      </c>
      <c r="C34" s="95">
        <f t="shared" si="4"/>
        <v>0</v>
      </c>
      <c r="D34" s="95">
        <f t="shared" si="0"/>
        <v>0</v>
      </c>
      <c r="E34" s="95">
        <f t="shared" si="6"/>
        <v>0</v>
      </c>
      <c r="F34" s="95">
        <f t="shared" si="5"/>
        <v>0</v>
      </c>
      <c r="G34" s="95">
        <f t="shared" si="3"/>
        <v>0</v>
      </c>
    </row>
    <row r="35" spans="1:9">
      <c r="A35" s="94"/>
      <c r="B35" s="94" t="s">
        <v>77</v>
      </c>
      <c r="C35" s="95">
        <f t="shared" si="4"/>
        <v>0</v>
      </c>
      <c r="D35" s="95">
        <f t="shared" si="0"/>
        <v>0</v>
      </c>
      <c r="E35" s="95">
        <f t="shared" si="6"/>
        <v>0</v>
      </c>
      <c r="F35" s="95">
        <f t="shared" si="5"/>
        <v>0</v>
      </c>
      <c r="G35" s="95">
        <f t="shared" si="3"/>
        <v>0</v>
      </c>
    </row>
    <row r="36" spans="1:9">
      <c r="A36" s="94"/>
      <c r="B36" s="94" t="s">
        <v>78</v>
      </c>
      <c r="C36" s="95">
        <f t="shared" si="4"/>
        <v>0</v>
      </c>
      <c r="D36" s="95">
        <f t="shared" si="0"/>
        <v>0</v>
      </c>
      <c r="E36" s="95">
        <f t="shared" si="6"/>
        <v>0</v>
      </c>
      <c r="F36" s="95">
        <f t="shared" si="5"/>
        <v>0</v>
      </c>
      <c r="G36" s="95">
        <f t="shared" si="3"/>
        <v>0</v>
      </c>
    </row>
    <row r="37" spans="1:9">
      <c r="A37" s="94"/>
      <c r="B37" s="94" t="s">
        <v>79</v>
      </c>
      <c r="C37" s="95">
        <f t="shared" si="4"/>
        <v>0</v>
      </c>
      <c r="D37" s="95">
        <f t="shared" si="0"/>
        <v>0</v>
      </c>
      <c r="E37" s="95">
        <f t="shared" si="6"/>
        <v>0</v>
      </c>
      <c r="F37" s="95">
        <f t="shared" si="5"/>
        <v>0</v>
      </c>
      <c r="G37" s="95">
        <f t="shared" si="3"/>
        <v>0</v>
      </c>
    </row>
    <row r="38" spans="1:9">
      <c r="A38" s="94"/>
      <c r="B38" s="94" t="s">
        <v>80</v>
      </c>
      <c r="C38" s="95">
        <f t="shared" si="4"/>
        <v>0</v>
      </c>
      <c r="D38" s="95">
        <f t="shared" si="0"/>
        <v>0</v>
      </c>
      <c r="E38" s="95">
        <f t="shared" si="6"/>
        <v>0</v>
      </c>
      <c r="F38" s="95">
        <f t="shared" si="5"/>
        <v>0</v>
      </c>
      <c r="G38" s="95">
        <f t="shared" si="3"/>
        <v>0</v>
      </c>
    </row>
    <row r="39" spans="1:9">
      <c r="A39" s="94"/>
      <c r="B39" s="94" t="s">
        <v>81</v>
      </c>
      <c r="C39" s="95">
        <f t="shared" si="4"/>
        <v>0</v>
      </c>
      <c r="D39" s="95">
        <f t="shared" si="0"/>
        <v>0</v>
      </c>
      <c r="E39" s="95">
        <f t="shared" si="6"/>
        <v>0</v>
      </c>
      <c r="F39" s="95">
        <f t="shared" si="5"/>
        <v>0</v>
      </c>
      <c r="G39" s="95">
        <f t="shared" si="3"/>
        <v>0</v>
      </c>
    </row>
    <row r="40" spans="1:9">
      <c r="A40" s="94"/>
      <c r="B40" s="94" t="s">
        <v>82</v>
      </c>
      <c r="C40" s="95">
        <f t="shared" si="4"/>
        <v>0</v>
      </c>
      <c r="D40" s="95">
        <f t="shared" si="0"/>
        <v>0</v>
      </c>
      <c r="E40" s="95">
        <f t="shared" si="6"/>
        <v>0</v>
      </c>
      <c r="F40" s="95">
        <f t="shared" si="5"/>
        <v>0</v>
      </c>
      <c r="G40" s="95">
        <f t="shared" si="3"/>
        <v>0</v>
      </c>
    </row>
    <row r="41" spans="1:9">
      <c r="A41" s="94"/>
      <c r="B41" s="94" t="s">
        <v>83</v>
      </c>
      <c r="C41" s="95">
        <f t="shared" si="4"/>
        <v>0</v>
      </c>
      <c r="D41" s="95">
        <f t="shared" si="0"/>
        <v>0</v>
      </c>
      <c r="E41" s="95">
        <f t="shared" si="6"/>
        <v>0</v>
      </c>
      <c r="F41" s="95">
        <f t="shared" si="5"/>
        <v>0</v>
      </c>
      <c r="G41" s="95">
        <f t="shared" si="3"/>
        <v>0</v>
      </c>
    </row>
    <row r="42" spans="1:9">
      <c r="A42" s="94"/>
      <c r="B42" s="94" t="s">
        <v>84</v>
      </c>
      <c r="C42" s="95">
        <f t="shared" si="4"/>
        <v>0</v>
      </c>
      <c r="D42" s="95">
        <f t="shared" ref="D42:D73" si="7">C42*$D$5/12</f>
        <v>0</v>
      </c>
      <c r="E42" s="95">
        <f t="shared" si="6"/>
        <v>0</v>
      </c>
      <c r="F42" s="95">
        <f t="shared" si="5"/>
        <v>0</v>
      </c>
      <c r="G42" s="95">
        <f t="shared" si="3"/>
        <v>0</v>
      </c>
    </row>
    <row r="43" spans="1:9">
      <c r="A43" s="94"/>
      <c r="B43" s="94" t="s">
        <v>85</v>
      </c>
      <c r="C43" s="95">
        <f t="shared" si="4"/>
        <v>0</v>
      </c>
      <c r="D43" s="95">
        <f t="shared" si="7"/>
        <v>0</v>
      </c>
      <c r="E43" s="95">
        <f t="shared" si="6"/>
        <v>0</v>
      </c>
      <c r="F43" s="95">
        <f t="shared" si="5"/>
        <v>0</v>
      </c>
      <c r="G43" s="95">
        <f t="shared" si="3"/>
        <v>0</v>
      </c>
    </row>
    <row r="44" spans="1:9">
      <c r="A44" s="94"/>
      <c r="B44" s="94" t="s">
        <v>86</v>
      </c>
      <c r="C44" s="95">
        <f t="shared" si="4"/>
        <v>0</v>
      </c>
      <c r="D44" s="95">
        <f t="shared" si="7"/>
        <v>0</v>
      </c>
      <c r="E44" s="95">
        <f t="shared" si="6"/>
        <v>0</v>
      </c>
      <c r="F44" s="95">
        <f t="shared" si="5"/>
        <v>0</v>
      </c>
      <c r="G44" s="95">
        <f t="shared" si="3"/>
        <v>0</v>
      </c>
    </row>
    <row r="45" spans="1:9">
      <c r="A45" s="94"/>
      <c r="B45" s="94" t="s">
        <v>87</v>
      </c>
      <c r="C45" s="95">
        <f t="shared" si="4"/>
        <v>0</v>
      </c>
      <c r="D45" s="95">
        <f t="shared" si="7"/>
        <v>0</v>
      </c>
      <c r="E45" s="95">
        <f t="shared" si="6"/>
        <v>0</v>
      </c>
      <c r="F45" s="95">
        <f t="shared" si="5"/>
        <v>0</v>
      </c>
      <c r="G45" s="95">
        <f t="shared" si="3"/>
        <v>0</v>
      </c>
      <c r="H45" s="1"/>
      <c r="I45" s="1"/>
    </row>
    <row r="46" spans="1:9">
      <c r="A46" s="94" t="s">
        <v>14</v>
      </c>
      <c r="B46" s="94" t="s">
        <v>88</v>
      </c>
      <c r="C46" s="95">
        <f t="shared" si="4"/>
        <v>0</v>
      </c>
      <c r="D46" s="95">
        <f t="shared" si="7"/>
        <v>0</v>
      </c>
      <c r="E46" s="95">
        <f t="shared" si="6"/>
        <v>0</v>
      </c>
      <c r="F46" s="95">
        <f t="shared" si="5"/>
        <v>0</v>
      </c>
      <c r="G46" s="95">
        <f t="shared" si="3"/>
        <v>0</v>
      </c>
    </row>
    <row r="47" spans="1:9">
      <c r="A47" s="94"/>
      <c r="B47" s="94" t="s">
        <v>89</v>
      </c>
      <c r="C47" s="95">
        <f t="shared" si="4"/>
        <v>0</v>
      </c>
      <c r="D47" s="95">
        <f t="shared" si="7"/>
        <v>0</v>
      </c>
      <c r="E47" s="95">
        <f t="shared" si="6"/>
        <v>0</v>
      </c>
      <c r="F47" s="95">
        <f t="shared" si="5"/>
        <v>0</v>
      </c>
      <c r="G47" s="95">
        <f t="shared" si="3"/>
        <v>0</v>
      </c>
    </row>
    <row r="48" spans="1:9">
      <c r="A48" s="94"/>
      <c r="B48" s="94" t="s">
        <v>90</v>
      </c>
      <c r="C48" s="95">
        <f t="shared" si="4"/>
        <v>0</v>
      </c>
      <c r="D48" s="95">
        <f t="shared" si="7"/>
        <v>0</v>
      </c>
      <c r="E48" s="95">
        <f t="shared" si="6"/>
        <v>0</v>
      </c>
      <c r="F48" s="95">
        <f t="shared" si="5"/>
        <v>0</v>
      </c>
      <c r="G48" s="95">
        <f t="shared" si="3"/>
        <v>0</v>
      </c>
    </row>
    <row r="49" spans="1:9">
      <c r="A49" s="94"/>
      <c r="B49" s="94" t="s">
        <v>91</v>
      </c>
      <c r="C49" s="95">
        <f t="shared" si="4"/>
        <v>0</v>
      </c>
      <c r="D49" s="95">
        <f t="shared" si="7"/>
        <v>0</v>
      </c>
      <c r="E49" s="95">
        <f t="shared" si="6"/>
        <v>0</v>
      </c>
      <c r="F49" s="95">
        <f t="shared" si="5"/>
        <v>0</v>
      </c>
      <c r="G49" s="95">
        <f t="shared" si="3"/>
        <v>0</v>
      </c>
    </row>
    <row r="50" spans="1:9">
      <c r="A50" s="94"/>
      <c r="B50" s="94" t="s">
        <v>92</v>
      </c>
      <c r="C50" s="95">
        <f t="shared" si="4"/>
        <v>0</v>
      </c>
      <c r="D50" s="95">
        <f t="shared" si="7"/>
        <v>0</v>
      </c>
      <c r="E50" s="95">
        <f t="shared" si="6"/>
        <v>0</v>
      </c>
      <c r="F50" s="95">
        <f t="shared" si="5"/>
        <v>0</v>
      </c>
      <c r="G50" s="95">
        <f t="shared" si="3"/>
        <v>0</v>
      </c>
    </row>
    <row r="51" spans="1:9">
      <c r="A51" s="94"/>
      <c r="B51" s="94" t="s">
        <v>93</v>
      </c>
      <c r="C51" s="95">
        <f t="shared" si="4"/>
        <v>0</v>
      </c>
      <c r="D51" s="95">
        <f t="shared" si="7"/>
        <v>0</v>
      </c>
      <c r="E51" s="95">
        <f t="shared" si="6"/>
        <v>0</v>
      </c>
      <c r="F51" s="95">
        <f t="shared" si="5"/>
        <v>0</v>
      </c>
      <c r="G51" s="95">
        <f t="shared" si="3"/>
        <v>0</v>
      </c>
    </row>
    <row r="52" spans="1:9">
      <c r="A52" s="94"/>
      <c r="B52" s="94" t="s">
        <v>94</v>
      </c>
      <c r="C52" s="95">
        <f t="shared" si="4"/>
        <v>0</v>
      </c>
      <c r="D52" s="95">
        <f t="shared" si="7"/>
        <v>0</v>
      </c>
      <c r="E52" s="95">
        <f t="shared" si="6"/>
        <v>0</v>
      </c>
      <c r="F52" s="95">
        <f t="shared" si="5"/>
        <v>0</v>
      </c>
      <c r="G52" s="95">
        <f t="shared" si="3"/>
        <v>0</v>
      </c>
    </row>
    <row r="53" spans="1:9">
      <c r="A53" s="94"/>
      <c r="B53" s="94" t="s">
        <v>95</v>
      </c>
      <c r="C53" s="95">
        <f t="shared" si="4"/>
        <v>0</v>
      </c>
      <c r="D53" s="95">
        <f t="shared" si="7"/>
        <v>0</v>
      </c>
      <c r="E53" s="95">
        <f t="shared" si="6"/>
        <v>0</v>
      </c>
      <c r="F53" s="95">
        <f t="shared" si="5"/>
        <v>0</v>
      </c>
      <c r="G53" s="95">
        <f t="shared" si="3"/>
        <v>0</v>
      </c>
    </row>
    <row r="54" spans="1:9">
      <c r="A54" s="94"/>
      <c r="B54" s="94" t="s">
        <v>96</v>
      </c>
      <c r="C54" s="95">
        <f t="shared" si="4"/>
        <v>0</v>
      </c>
      <c r="D54" s="95">
        <f t="shared" si="7"/>
        <v>0</v>
      </c>
      <c r="E54" s="95">
        <f t="shared" si="6"/>
        <v>0</v>
      </c>
      <c r="F54" s="95">
        <f t="shared" si="5"/>
        <v>0</v>
      </c>
      <c r="G54" s="95">
        <f t="shared" si="3"/>
        <v>0</v>
      </c>
    </row>
    <row r="55" spans="1:9">
      <c r="A55" s="94"/>
      <c r="B55" s="94" t="s">
        <v>97</v>
      </c>
      <c r="C55" s="95">
        <f t="shared" si="4"/>
        <v>0</v>
      </c>
      <c r="D55" s="95">
        <f t="shared" si="7"/>
        <v>0</v>
      </c>
      <c r="E55" s="95">
        <f t="shared" si="6"/>
        <v>0</v>
      </c>
      <c r="F55" s="95">
        <f t="shared" si="5"/>
        <v>0</v>
      </c>
      <c r="G55" s="95">
        <f t="shared" si="3"/>
        <v>0</v>
      </c>
    </row>
    <row r="56" spans="1:9">
      <c r="A56" s="94"/>
      <c r="B56" s="94" t="s">
        <v>98</v>
      </c>
      <c r="C56" s="95">
        <f t="shared" si="4"/>
        <v>0</v>
      </c>
      <c r="D56" s="95">
        <f t="shared" si="7"/>
        <v>0</v>
      </c>
      <c r="E56" s="95">
        <f t="shared" si="6"/>
        <v>0</v>
      </c>
      <c r="F56" s="95">
        <f t="shared" si="5"/>
        <v>0</v>
      </c>
      <c r="G56" s="95">
        <f t="shared" si="3"/>
        <v>0</v>
      </c>
    </row>
    <row r="57" spans="1:9">
      <c r="A57" s="94"/>
      <c r="B57" s="94" t="s">
        <v>99</v>
      </c>
      <c r="C57" s="95">
        <f t="shared" si="4"/>
        <v>0</v>
      </c>
      <c r="D57" s="95">
        <f t="shared" si="7"/>
        <v>0</v>
      </c>
      <c r="E57" s="95">
        <f t="shared" si="6"/>
        <v>0</v>
      </c>
      <c r="F57" s="95">
        <f t="shared" si="5"/>
        <v>0</v>
      </c>
      <c r="G57" s="95">
        <f t="shared" si="3"/>
        <v>0</v>
      </c>
      <c r="H57" s="1"/>
      <c r="I57" s="1"/>
    </row>
    <row r="58" spans="1:9">
      <c r="A58" s="94" t="s">
        <v>15</v>
      </c>
      <c r="B58" s="94" t="s">
        <v>100</v>
      </c>
      <c r="C58" s="95">
        <f t="shared" si="4"/>
        <v>0</v>
      </c>
      <c r="D58" s="95">
        <f t="shared" si="7"/>
        <v>0</v>
      </c>
      <c r="E58" s="95">
        <f t="shared" si="6"/>
        <v>0</v>
      </c>
      <c r="F58" s="95">
        <f t="shared" si="5"/>
        <v>0</v>
      </c>
      <c r="G58" s="95">
        <f t="shared" si="3"/>
        <v>0</v>
      </c>
    </row>
    <row r="59" spans="1:9">
      <c r="A59" s="94"/>
      <c r="B59" s="94" t="s">
        <v>101</v>
      </c>
      <c r="C59" s="95">
        <f t="shared" si="4"/>
        <v>0</v>
      </c>
      <c r="D59" s="95">
        <f t="shared" si="7"/>
        <v>0</v>
      </c>
      <c r="E59" s="95">
        <f t="shared" si="6"/>
        <v>0</v>
      </c>
      <c r="F59" s="95">
        <f t="shared" si="5"/>
        <v>0</v>
      </c>
      <c r="G59" s="95">
        <f t="shared" si="3"/>
        <v>0</v>
      </c>
    </row>
    <row r="60" spans="1:9">
      <c r="A60" s="94"/>
      <c r="B60" s="94" t="s">
        <v>102</v>
      </c>
      <c r="C60" s="95">
        <f t="shared" si="4"/>
        <v>0</v>
      </c>
      <c r="D60" s="95">
        <f t="shared" si="7"/>
        <v>0</v>
      </c>
      <c r="E60" s="95">
        <f t="shared" si="6"/>
        <v>0</v>
      </c>
      <c r="F60" s="95">
        <f t="shared" si="5"/>
        <v>0</v>
      </c>
      <c r="G60" s="95">
        <f t="shared" si="3"/>
        <v>0</v>
      </c>
    </row>
    <row r="61" spans="1:9">
      <c r="A61" s="94"/>
      <c r="B61" s="94" t="s">
        <v>103</v>
      </c>
      <c r="C61" s="95">
        <f t="shared" si="4"/>
        <v>0</v>
      </c>
      <c r="D61" s="95">
        <f t="shared" si="7"/>
        <v>0</v>
      </c>
      <c r="E61" s="95">
        <f t="shared" si="6"/>
        <v>0</v>
      </c>
      <c r="F61" s="95">
        <f t="shared" si="5"/>
        <v>0</v>
      </c>
      <c r="G61" s="95">
        <f t="shared" si="3"/>
        <v>0</v>
      </c>
    </row>
    <row r="62" spans="1:9">
      <c r="A62" s="94"/>
      <c r="B62" s="94" t="s">
        <v>104</v>
      </c>
      <c r="C62" s="95">
        <f t="shared" si="4"/>
        <v>0</v>
      </c>
      <c r="D62" s="95">
        <f t="shared" si="7"/>
        <v>0</v>
      </c>
      <c r="E62" s="95">
        <f t="shared" si="6"/>
        <v>0</v>
      </c>
      <c r="F62" s="95">
        <f t="shared" si="5"/>
        <v>0</v>
      </c>
      <c r="G62" s="95">
        <f t="shared" si="3"/>
        <v>0</v>
      </c>
    </row>
    <row r="63" spans="1:9">
      <c r="A63" s="94"/>
      <c r="B63" s="94" t="s">
        <v>105</v>
      </c>
      <c r="C63" s="95">
        <f t="shared" si="4"/>
        <v>0</v>
      </c>
      <c r="D63" s="95">
        <f t="shared" si="7"/>
        <v>0</v>
      </c>
      <c r="E63" s="95">
        <f t="shared" si="6"/>
        <v>0</v>
      </c>
      <c r="F63" s="95">
        <f t="shared" si="5"/>
        <v>0</v>
      </c>
      <c r="G63" s="95">
        <f t="shared" si="3"/>
        <v>0</v>
      </c>
    </row>
    <row r="64" spans="1:9">
      <c r="A64" s="94"/>
      <c r="B64" s="94" t="s">
        <v>106</v>
      </c>
      <c r="C64" s="95">
        <f t="shared" si="4"/>
        <v>0</v>
      </c>
      <c r="D64" s="95">
        <f t="shared" si="7"/>
        <v>0</v>
      </c>
      <c r="E64" s="95">
        <f t="shared" si="6"/>
        <v>0</v>
      </c>
      <c r="F64" s="95">
        <f t="shared" si="5"/>
        <v>0</v>
      </c>
      <c r="G64" s="95">
        <f t="shared" si="3"/>
        <v>0</v>
      </c>
    </row>
    <row r="65" spans="1:9">
      <c r="A65" s="94"/>
      <c r="B65" s="94" t="s">
        <v>107</v>
      </c>
      <c r="C65" s="95">
        <f t="shared" si="4"/>
        <v>0</v>
      </c>
      <c r="D65" s="95">
        <f t="shared" si="7"/>
        <v>0</v>
      </c>
      <c r="E65" s="95">
        <f t="shared" si="6"/>
        <v>0</v>
      </c>
      <c r="F65" s="95">
        <f t="shared" si="5"/>
        <v>0</v>
      </c>
      <c r="G65" s="95">
        <f t="shared" si="3"/>
        <v>0</v>
      </c>
    </row>
    <row r="66" spans="1:9">
      <c r="A66" s="94"/>
      <c r="B66" s="94" t="s">
        <v>108</v>
      </c>
      <c r="C66" s="95">
        <f t="shared" si="4"/>
        <v>0</v>
      </c>
      <c r="D66" s="95">
        <f t="shared" si="7"/>
        <v>0</v>
      </c>
      <c r="E66" s="95">
        <f t="shared" si="6"/>
        <v>0</v>
      </c>
      <c r="F66" s="95">
        <f t="shared" si="5"/>
        <v>0</v>
      </c>
      <c r="G66" s="95">
        <f t="shared" si="3"/>
        <v>0</v>
      </c>
    </row>
    <row r="67" spans="1:9">
      <c r="A67" s="94"/>
      <c r="B67" s="94" t="s">
        <v>109</v>
      </c>
      <c r="C67" s="95">
        <f t="shared" si="4"/>
        <v>0</v>
      </c>
      <c r="D67" s="95">
        <f t="shared" si="7"/>
        <v>0</v>
      </c>
      <c r="E67" s="95">
        <f t="shared" si="6"/>
        <v>0</v>
      </c>
      <c r="F67" s="95">
        <f t="shared" si="5"/>
        <v>0</v>
      </c>
      <c r="G67" s="95">
        <f t="shared" si="3"/>
        <v>0</v>
      </c>
    </row>
    <row r="68" spans="1:9">
      <c r="A68" s="94"/>
      <c r="B68" s="94" t="s">
        <v>110</v>
      </c>
      <c r="C68" s="95">
        <f t="shared" si="4"/>
        <v>0</v>
      </c>
      <c r="D68" s="95">
        <f t="shared" si="7"/>
        <v>0</v>
      </c>
      <c r="E68" s="95">
        <f t="shared" si="6"/>
        <v>0</v>
      </c>
      <c r="F68" s="95">
        <f t="shared" si="5"/>
        <v>0</v>
      </c>
      <c r="G68" s="95">
        <f t="shared" si="3"/>
        <v>0</v>
      </c>
    </row>
    <row r="69" spans="1:9">
      <c r="A69" s="94"/>
      <c r="B69" s="94" t="s">
        <v>111</v>
      </c>
      <c r="C69" s="95">
        <f t="shared" si="4"/>
        <v>0</v>
      </c>
      <c r="D69" s="95">
        <f t="shared" si="7"/>
        <v>0</v>
      </c>
      <c r="E69" s="95">
        <f t="shared" si="6"/>
        <v>0</v>
      </c>
      <c r="F69" s="95">
        <f t="shared" si="5"/>
        <v>0</v>
      </c>
      <c r="G69" s="95">
        <f t="shared" si="3"/>
        <v>0</v>
      </c>
      <c r="H69" s="1"/>
      <c r="I69" s="1"/>
    </row>
    <row r="70" spans="1:9">
      <c r="A70" s="94" t="s">
        <v>16</v>
      </c>
      <c r="B70" s="94" t="s">
        <v>112</v>
      </c>
      <c r="C70" s="95">
        <f t="shared" si="4"/>
        <v>0</v>
      </c>
      <c r="D70" s="95">
        <f t="shared" si="7"/>
        <v>0</v>
      </c>
      <c r="E70" s="95">
        <f t="shared" si="6"/>
        <v>0</v>
      </c>
      <c r="F70" s="95">
        <f t="shared" si="5"/>
        <v>0</v>
      </c>
      <c r="G70" s="95">
        <f t="shared" si="3"/>
        <v>0</v>
      </c>
    </row>
    <row r="71" spans="1:9">
      <c r="A71" s="94"/>
      <c r="B71" s="94" t="s">
        <v>113</v>
      </c>
      <c r="C71" s="95">
        <f t="shared" si="4"/>
        <v>0</v>
      </c>
      <c r="D71" s="95">
        <f t="shared" si="7"/>
        <v>0</v>
      </c>
      <c r="E71" s="95">
        <f t="shared" si="6"/>
        <v>0</v>
      </c>
      <c r="F71" s="95">
        <f t="shared" si="5"/>
        <v>0</v>
      </c>
      <c r="G71" s="95">
        <f t="shared" si="3"/>
        <v>0</v>
      </c>
    </row>
    <row r="72" spans="1:9">
      <c r="A72" s="94"/>
      <c r="B72" s="94" t="s">
        <v>114</v>
      </c>
      <c r="C72" s="95">
        <f t="shared" si="4"/>
        <v>0</v>
      </c>
      <c r="D72" s="95">
        <f t="shared" si="7"/>
        <v>0</v>
      </c>
      <c r="E72" s="95">
        <f t="shared" si="6"/>
        <v>0</v>
      </c>
      <c r="F72" s="95">
        <f t="shared" si="5"/>
        <v>0</v>
      </c>
      <c r="G72" s="95">
        <f t="shared" si="3"/>
        <v>0</v>
      </c>
    </row>
    <row r="73" spans="1:9">
      <c r="A73" s="94"/>
      <c r="B73" s="94" t="s">
        <v>115</v>
      </c>
      <c r="C73" s="95">
        <f t="shared" si="4"/>
        <v>0</v>
      </c>
      <c r="D73" s="95">
        <f t="shared" si="7"/>
        <v>0</v>
      </c>
      <c r="E73" s="95">
        <f t="shared" si="6"/>
        <v>0</v>
      </c>
      <c r="F73" s="95">
        <f t="shared" si="5"/>
        <v>0</v>
      </c>
      <c r="G73" s="95">
        <f t="shared" si="3"/>
        <v>0</v>
      </c>
    </row>
    <row r="74" spans="1:9">
      <c r="A74" s="94"/>
      <c r="B74" s="94" t="s">
        <v>116</v>
      </c>
      <c r="C74" s="95">
        <f t="shared" si="4"/>
        <v>0</v>
      </c>
      <c r="D74" s="95">
        <f t="shared" ref="D74:D93" si="8">C74*$D$5/12</f>
        <v>0</v>
      </c>
      <c r="E74" s="95">
        <f t="shared" si="6"/>
        <v>0</v>
      </c>
      <c r="F74" s="95">
        <f t="shared" si="5"/>
        <v>0</v>
      </c>
      <c r="G74" s="95">
        <f t="shared" si="3"/>
        <v>0</v>
      </c>
    </row>
    <row r="75" spans="1:9">
      <c r="A75" s="94"/>
      <c r="B75" s="94" t="s">
        <v>117</v>
      </c>
      <c r="C75" s="95">
        <f t="shared" si="4"/>
        <v>0</v>
      </c>
      <c r="D75" s="95">
        <f t="shared" si="8"/>
        <v>0</v>
      </c>
      <c r="E75" s="95">
        <f t="shared" si="6"/>
        <v>0</v>
      </c>
      <c r="F75" s="95">
        <f t="shared" ref="F75:F93" si="9">$D$8</f>
        <v>0</v>
      </c>
      <c r="G75" s="95">
        <f t="shared" ref="G75:G93" si="10">C75-E75</f>
        <v>0</v>
      </c>
    </row>
    <row r="76" spans="1:9">
      <c r="A76" s="94"/>
      <c r="B76" s="94" t="s">
        <v>118</v>
      </c>
      <c r="C76" s="95">
        <f t="shared" ref="C76:C93" si="11">G75</f>
        <v>0</v>
      </c>
      <c r="D76" s="95">
        <f t="shared" si="8"/>
        <v>0</v>
      </c>
      <c r="E76" s="95">
        <f t="shared" si="6"/>
        <v>0</v>
      </c>
      <c r="F76" s="95">
        <f t="shared" si="9"/>
        <v>0</v>
      </c>
      <c r="G76" s="95">
        <f t="shared" si="10"/>
        <v>0</v>
      </c>
    </row>
    <row r="77" spans="1:9">
      <c r="A77" s="94"/>
      <c r="B77" s="94" t="s">
        <v>119</v>
      </c>
      <c r="C77" s="95">
        <f t="shared" si="11"/>
        <v>0</v>
      </c>
      <c r="D77" s="95">
        <f t="shared" si="8"/>
        <v>0</v>
      </c>
      <c r="E77" s="95">
        <f t="shared" si="6"/>
        <v>0</v>
      </c>
      <c r="F77" s="95">
        <f t="shared" si="9"/>
        <v>0</v>
      </c>
      <c r="G77" s="95">
        <f t="shared" si="10"/>
        <v>0</v>
      </c>
    </row>
    <row r="78" spans="1:9">
      <c r="A78" s="94"/>
      <c r="B78" s="94" t="s">
        <v>120</v>
      </c>
      <c r="C78" s="95">
        <f t="shared" si="11"/>
        <v>0</v>
      </c>
      <c r="D78" s="95">
        <f t="shared" si="8"/>
        <v>0</v>
      </c>
      <c r="E78" s="95">
        <f t="shared" si="6"/>
        <v>0</v>
      </c>
      <c r="F78" s="95">
        <f t="shared" si="9"/>
        <v>0</v>
      </c>
      <c r="G78" s="95">
        <f t="shared" si="10"/>
        <v>0</v>
      </c>
    </row>
    <row r="79" spans="1:9">
      <c r="A79" s="94"/>
      <c r="B79" s="94" t="s">
        <v>121</v>
      </c>
      <c r="C79" s="95">
        <f t="shared" si="11"/>
        <v>0</v>
      </c>
      <c r="D79" s="95">
        <f t="shared" si="8"/>
        <v>0</v>
      </c>
      <c r="E79" s="95">
        <f t="shared" si="6"/>
        <v>0</v>
      </c>
      <c r="F79" s="95">
        <f t="shared" si="9"/>
        <v>0</v>
      </c>
      <c r="G79" s="95">
        <f t="shared" si="10"/>
        <v>0</v>
      </c>
    </row>
    <row r="80" spans="1:9">
      <c r="A80" s="94"/>
      <c r="B80" s="94" t="s">
        <v>122</v>
      </c>
      <c r="C80" s="95">
        <f t="shared" si="11"/>
        <v>0</v>
      </c>
      <c r="D80" s="95">
        <f t="shared" si="8"/>
        <v>0</v>
      </c>
      <c r="E80" s="95">
        <f t="shared" si="6"/>
        <v>0</v>
      </c>
      <c r="F80" s="95">
        <f t="shared" si="9"/>
        <v>0</v>
      </c>
      <c r="G80" s="95">
        <f t="shared" si="10"/>
        <v>0</v>
      </c>
    </row>
    <row r="81" spans="1:9">
      <c r="A81" s="94"/>
      <c r="B81" s="94" t="s">
        <v>123</v>
      </c>
      <c r="C81" s="95">
        <f t="shared" si="11"/>
        <v>0</v>
      </c>
      <c r="D81" s="95">
        <f t="shared" si="8"/>
        <v>0</v>
      </c>
      <c r="E81" s="95">
        <f t="shared" ref="E81:E93" si="12">F81-D81</f>
        <v>0</v>
      </c>
      <c r="F81" s="95">
        <f t="shared" si="9"/>
        <v>0</v>
      </c>
      <c r="G81" s="95">
        <f t="shared" si="10"/>
        <v>0</v>
      </c>
      <c r="H81" s="1"/>
      <c r="I81" s="1"/>
    </row>
    <row r="82" spans="1:9">
      <c r="A82" s="94" t="s">
        <v>279</v>
      </c>
      <c r="B82" s="94" t="s">
        <v>214</v>
      </c>
      <c r="C82" s="95">
        <f t="shared" si="11"/>
        <v>0</v>
      </c>
      <c r="D82" s="95">
        <f t="shared" si="8"/>
        <v>0</v>
      </c>
      <c r="E82" s="95">
        <f t="shared" si="12"/>
        <v>0</v>
      </c>
      <c r="F82" s="95">
        <f t="shared" si="9"/>
        <v>0</v>
      </c>
      <c r="G82" s="95">
        <f t="shared" si="10"/>
        <v>0</v>
      </c>
    </row>
    <row r="83" spans="1:9">
      <c r="A83" s="94"/>
      <c r="B83" s="94" t="s">
        <v>215</v>
      </c>
      <c r="C83" s="95">
        <f t="shared" si="11"/>
        <v>0</v>
      </c>
      <c r="D83" s="95">
        <f t="shared" si="8"/>
        <v>0</v>
      </c>
      <c r="E83" s="95">
        <f t="shared" si="12"/>
        <v>0</v>
      </c>
      <c r="F83" s="95">
        <f t="shared" si="9"/>
        <v>0</v>
      </c>
      <c r="G83" s="95">
        <f t="shared" si="10"/>
        <v>0</v>
      </c>
    </row>
    <row r="84" spans="1:9">
      <c r="A84" s="94"/>
      <c r="B84" s="94" t="s">
        <v>216</v>
      </c>
      <c r="C84" s="95">
        <f t="shared" si="11"/>
        <v>0</v>
      </c>
      <c r="D84" s="95">
        <f t="shared" si="8"/>
        <v>0</v>
      </c>
      <c r="E84" s="95">
        <f t="shared" si="12"/>
        <v>0</v>
      </c>
      <c r="F84" s="95">
        <f t="shared" si="9"/>
        <v>0</v>
      </c>
      <c r="G84" s="95">
        <f t="shared" si="10"/>
        <v>0</v>
      </c>
    </row>
    <row r="85" spans="1:9">
      <c r="A85" s="94"/>
      <c r="B85" s="94" t="s">
        <v>217</v>
      </c>
      <c r="C85" s="95">
        <f t="shared" si="11"/>
        <v>0</v>
      </c>
      <c r="D85" s="95">
        <f t="shared" si="8"/>
        <v>0</v>
      </c>
      <c r="E85" s="95">
        <f t="shared" si="12"/>
        <v>0</v>
      </c>
      <c r="F85" s="95">
        <f t="shared" si="9"/>
        <v>0</v>
      </c>
      <c r="G85" s="95">
        <f t="shared" si="10"/>
        <v>0</v>
      </c>
    </row>
    <row r="86" spans="1:9">
      <c r="A86" s="94"/>
      <c r="B86" s="94" t="s">
        <v>218</v>
      </c>
      <c r="C86" s="95">
        <f t="shared" si="11"/>
        <v>0</v>
      </c>
      <c r="D86" s="95">
        <f t="shared" si="8"/>
        <v>0</v>
      </c>
      <c r="E86" s="95">
        <f t="shared" si="12"/>
        <v>0</v>
      </c>
      <c r="F86" s="95">
        <f t="shared" si="9"/>
        <v>0</v>
      </c>
      <c r="G86" s="95">
        <f t="shared" si="10"/>
        <v>0</v>
      </c>
    </row>
    <row r="87" spans="1:9">
      <c r="A87" s="94"/>
      <c r="B87" s="94" t="s">
        <v>219</v>
      </c>
      <c r="C87" s="95">
        <f t="shared" si="11"/>
        <v>0</v>
      </c>
      <c r="D87" s="95">
        <f t="shared" si="8"/>
        <v>0</v>
      </c>
      <c r="E87" s="95">
        <f t="shared" si="12"/>
        <v>0</v>
      </c>
      <c r="F87" s="95">
        <f t="shared" si="9"/>
        <v>0</v>
      </c>
      <c r="G87" s="95">
        <f t="shared" si="10"/>
        <v>0</v>
      </c>
    </row>
    <row r="88" spans="1:9">
      <c r="A88" s="94"/>
      <c r="B88" s="94" t="s">
        <v>220</v>
      </c>
      <c r="C88" s="95">
        <f t="shared" si="11"/>
        <v>0</v>
      </c>
      <c r="D88" s="95">
        <f t="shared" si="8"/>
        <v>0</v>
      </c>
      <c r="E88" s="95">
        <f t="shared" si="12"/>
        <v>0</v>
      </c>
      <c r="F88" s="95">
        <f t="shared" si="9"/>
        <v>0</v>
      </c>
      <c r="G88" s="95">
        <f t="shared" si="10"/>
        <v>0</v>
      </c>
    </row>
    <row r="89" spans="1:9">
      <c r="A89" s="94"/>
      <c r="B89" s="94" t="s">
        <v>221</v>
      </c>
      <c r="C89" s="95">
        <f t="shared" si="11"/>
        <v>0</v>
      </c>
      <c r="D89" s="95">
        <f t="shared" si="8"/>
        <v>0</v>
      </c>
      <c r="E89" s="95">
        <f t="shared" si="12"/>
        <v>0</v>
      </c>
      <c r="F89" s="95">
        <f t="shared" si="9"/>
        <v>0</v>
      </c>
      <c r="G89" s="95">
        <f t="shared" si="10"/>
        <v>0</v>
      </c>
    </row>
    <row r="90" spans="1:9">
      <c r="A90" s="94"/>
      <c r="B90" s="94" t="s">
        <v>222</v>
      </c>
      <c r="C90" s="95">
        <f t="shared" si="11"/>
        <v>0</v>
      </c>
      <c r="D90" s="95">
        <f t="shared" si="8"/>
        <v>0</v>
      </c>
      <c r="E90" s="95">
        <f t="shared" si="12"/>
        <v>0</v>
      </c>
      <c r="F90" s="95">
        <f t="shared" si="9"/>
        <v>0</v>
      </c>
      <c r="G90" s="95">
        <f t="shared" si="10"/>
        <v>0</v>
      </c>
    </row>
    <row r="91" spans="1:9">
      <c r="A91" s="94"/>
      <c r="B91" s="94" t="s">
        <v>223</v>
      </c>
      <c r="C91" s="95">
        <f t="shared" si="11"/>
        <v>0</v>
      </c>
      <c r="D91" s="95">
        <f t="shared" si="8"/>
        <v>0</v>
      </c>
      <c r="E91" s="95">
        <f t="shared" si="12"/>
        <v>0</v>
      </c>
      <c r="F91" s="95">
        <f t="shared" si="9"/>
        <v>0</v>
      </c>
      <c r="G91" s="95">
        <f t="shared" si="10"/>
        <v>0</v>
      </c>
    </row>
    <row r="92" spans="1:9">
      <c r="A92" s="94"/>
      <c r="B92" s="94" t="s">
        <v>224</v>
      </c>
      <c r="C92" s="95">
        <f t="shared" si="11"/>
        <v>0</v>
      </c>
      <c r="D92" s="95">
        <f t="shared" si="8"/>
        <v>0</v>
      </c>
      <c r="E92" s="95">
        <f t="shared" si="12"/>
        <v>0</v>
      </c>
      <c r="F92" s="95">
        <f t="shared" si="9"/>
        <v>0</v>
      </c>
      <c r="G92" s="95">
        <f t="shared" si="10"/>
        <v>0</v>
      </c>
    </row>
    <row r="93" spans="1:9">
      <c r="A93" s="94"/>
      <c r="B93" s="94" t="s">
        <v>225</v>
      </c>
      <c r="C93" s="95">
        <f t="shared" si="11"/>
        <v>0</v>
      </c>
      <c r="D93" s="95">
        <f t="shared" si="8"/>
        <v>0</v>
      </c>
      <c r="E93" s="95">
        <f t="shared" si="12"/>
        <v>0</v>
      </c>
      <c r="F93" s="95">
        <f t="shared" si="9"/>
        <v>0</v>
      </c>
      <c r="G93" s="95">
        <f t="shared" si="10"/>
        <v>0</v>
      </c>
    </row>
    <row r="94" spans="1:9">
      <c r="A94" s="93"/>
      <c r="B94" s="93"/>
      <c r="C94" s="93"/>
      <c r="D94" s="102">
        <f>SUM(D10:D93)</f>
        <v>0</v>
      </c>
      <c r="E94" s="102">
        <f>SUM(E10:E93)</f>
        <v>0</v>
      </c>
      <c r="F94" s="93"/>
      <c r="G94" s="93"/>
    </row>
    <row r="95" spans="1:9" ht="39.950000000000003" customHeight="1">
      <c r="A95" s="434" t="s">
        <v>417</v>
      </c>
      <c r="B95" s="434"/>
      <c r="C95" s="434"/>
      <c r="D95" s="434"/>
      <c r="E95" s="434"/>
      <c r="F95" s="434"/>
      <c r="G95" s="434"/>
      <c r="H95" s="434"/>
    </row>
    <row r="96" spans="1:9">
      <c r="A96" t="s">
        <v>535</v>
      </c>
    </row>
    <row r="97" spans="1:2">
      <c r="A97">
        <v>1</v>
      </c>
      <c r="B97" t="s">
        <v>536</v>
      </c>
    </row>
    <row r="98" spans="1:2">
      <c r="A98">
        <v>2</v>
      </c>
      <c r="B98" t="s">
        <v>537</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topLeftCell="A17" zoomScale="80" zoomScaleSheetLayoutView="80" workbookViewId="0">
      <selection activeCell="D46" sqref="D46"/>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3" t="s">
        <v>551</v>
      </c>
      <c r="D2" s="413"/>
      <c r="E2" s="413"/>
      <c r="F2" s="413"/>
      <c r="G2" s="413"/>
      <c r="H2" s="413"/>
      <c r="I2" s="413"/>
      <c r="J2" s="413"/>
      <c r="K2" s="413"/>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36" t="s">
        <v>531</v>
      </c>
      <c r="O4" s="436"/>
      <c r="P4" s="436"/>
      <c r="Q4" s="436"/>
      <c r="R4" s="436"/>
      <c r="S4" s="241"/>
      <c r="T4" s="241"/>
      <c r="U4" s="436" t="s">
        <v>532</v>
      </c>
      <c r="V4" s="436"/>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35" t="s">
        <v>533</v>
      </c>
      <c r="O5" s="435"/>
      <c r="P5" s="435"/>
      <c r="Q5" s="435"/>
      <c r="R5" s="435"/>
      <c r="S5" s="241"/>
      <c r="T5" s="241"/>
      <c r="U5" s="435" t="s">
        <v>533</v>
      </c>
      <c r="V5" s="435"/>
    </row>
    <row r="6" spans="3:22">
      <c r="C6" s="94" t="s">
        <v>455</v>
      </c>
      <c r="D6" s="189"/>
      <c r="E6" s="94"/>
      <c r="F6" s="95">
        <f t="shared" si="0"/>
        <v>7404615.5604749983</v>
      </c>
      <c r="G6" s="95">
        <f t="shared" si="0"/>
        <v>9070654.0615818743</v>
      </c>
      <c r="H6" s="95">
        <f t="shared" si="0"/>
        <v>10884784.873898247</v>
      </c>
      <c r="I6" s="95">
        <f t="shared" si="0"/>
        <v>12857652.132292306</v>
      </c>
      <c r="J6" s="95">
        <f t="shared" si="0"/>
        <v>15000594.154341025</v>
      </c>
      <c r="K6" s="95">
        <f t="shared" si="0"/>
        <v>17325686.248263888</v>
      </c>
      <c r="L6" s="93"/>
      <c r="M6" s="93"/>
      <c r="N6" s="242" t="s">
        <v>0</v>
      </c>
      <c r="O6" s="242" t="s">
        <v>161</v>
      </c>
      <c r="P6" s="242" t="s">
        <v>162</v>
      </c>
      <c r="Q6" s="242" t="s">
        <v>315</v>
      </c>
      <c r="R6" s="242" t="s">
        <v>316</v>
      </c>
      <c r="S6" s="241"/>
      <c r="T6" s="241"/>
      <c r="U6" s="328" t="s">
        <v>0</v>
      </c>
      <c r="V6" s="328" t="s">
        <v>490</v>
      </c>
    </row>
    <row r="7" spans="3:22">
      <c r="C7" s="94" t="s">
        <v>691</v>
      </c>
      <c r="D7" s="189"/>
      <c r="E7" s="94"/>
      <c r="F7" s="95">
        <f t="shared" si="0"/>
        <v>30705.004049999996</v>
      </c>
      <c r="G7" s="95">
        <f t="shared" si="0"/>
        <v>48360.381378750011</v>
      </c>
      <c r="H7" s="95">
        <f t="shared" si="0"/>
        <v>67704.533930250007</v>
      </c>
      <c r="I7" s="95">
        <f t="shared" si="0"/>
        <v>88862.200783453169</v>
      </c>
      <c r="J7" s="95">
        <f t="shared" si="0"/>
        <v>111966.37298715099</v>
      </c>
      <c r="K7" s="95">
        <f t="shared" si="0"/>
        <v>137158.80690925996</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7435320.564524998</v>
      </c>
      <c r="G11" s="95">
        <f t="shared" si="5"/>
        <v>9119014.4429606237</v>
      </c>
      <c r="H11" s="95">
        <f t="shared" si="5"/>
        <v>10952489.407828497</v>
      </c>
      <c r="I11" s="95">
        <f t="shared" si="5"/>
        <v>12946514.33307576</v>
      </c>
      <c r="J11" s="95">
        <f t="shared" si="5"/>
        <v>15112560.527328176</v>
      </c>
      <c r="K11" s="95">
        <f t="shared" si="5"/>
        <v>17462845.055173147</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7404615.5604749983</v>
      </c>
      <c r="F15" s="95">
        <f>SUM('12.Facility 1 - Trading'!E233:E284)*$D$15</f>
        <v>9070654.0615818743</v>
      </c>
      <c r="G15" s="95">
        <f>SUM('12.Facility 1 - Trading'!F233:F284)*$D$15</f>
        <v>10884784.873898247</v>
      </c>
      <c r="H15" s="95">
        <f>SUM('12.Facility 1 - Trading'!G233:G284)*$D$15</f>
        <v>12857652.132292306</v>
      </c>
      <c r="I15" s="95">
        <f>SUM('12.Facility 1 - Trading'!H233:H284)*$D$15</f>
        <v>15000594.154341025</v>
      </c>
      <c r="J15" s="95">
        <f>SUM('12.Facility 1 - Trading'!I233:I284)*$D$15</f>
        <v>17325686.248263888</v>
      </c>
      <c r="K15" s="95">
        <f>SUM('12.Facility 1 - Trading'!J233:J284)*$D$15</f>
        <v>19845786.066193175</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0.4</v>
      </c>
      <c r="E16" s="95">
        <f>SUM('13.Facility 2 Grain Processing'!D155:D163)*$D$16</f>
        <v>30705.004049999996</v>
      </c>
      <c r="F16" s="95">
        <f>SUM('13.Facility 2 Grain Processing'!E155:E163)*$D$16</f>
        <v>48360.381378750011</v>
      </c>
      <c r="G16" s="95">
        <f>SUM('13.Facility 2 Grain Processing'!F155:F163)*$D$16</f>
        <v>67704.533930250007</v>
      </c>
      <c r="H16" s="95">
        <f>SUM('13.Facility 2 Grain Processing'!G155:G163)*$D$16</f>
        <v>88862.200783453169</v>
      </c>
      <c r="I16" s="95">
        <f>SUM('13.Facility 2 Grain Processing'!H155:H163)*$D$16</f>
        <v>111966.37298715099</v>
      </c>
      <c r="J16" s="95">
        <f>SUM('13.Facility 2 Grain Processing'!I155:I163)*$D$16</f>
        <v>137158.80690925996</v>
      </c>
      <c r="K16" s="95">
        <f>SUM('13.Facility 2 Grain Processing'!J155:J163)*$D$16</f>
        <v>164590.56829111194</v>
      </c>
      <c r="L16" s="93"/>
      <c r="M16" s="93"/>
    </row>
    <row r="17" spans="1:18">
      <c r="C17" s="94" t="s">
        <v>518</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7435320.564524998</v>
      </c>
      <c r="F20" s="95">
        <f t="shared" si="7"/>
        <v>9119014.4429606237</v>
      </c>
      <c r="G20" s="95">
        <f t="shared" si="7"/>
        <v>10952489.407828497</v>
      </c>
      <c r="H20" s="95">
        <f t="shared" si="7"/>
        <v>12946514.33307576</v>
      </c>
      <c r="I20" s="95">
        <f t="shared" si="7"/>
        <v>15112560.527328176</v>
      </c>
      <c r="J20" s="95">
        <f t="shared" si="7"/>
        <v>17462845.055173147</v>
      </c>
      <c r="K20" s="95">
        <f t="shared" si="7"/>
        <v>20010376.634484287</v>
      </c>
      <c r="L20" s="93"/>
      <c r="M20" s="93"/>
    </row>
    <row r="21" spans="1:18" ht="41.1" customHeight="1">
      <c r="A21" s="419" t="s">
        <v>418</v>
      </c>
      <c r="B21" s="419"/>
      <c r="C21" s="419"/>
      <c r="D21" s="419"/>
      <c r="E21" s="419"/>
      <c r="F21" s="419"/>
      <c r="G21" s="419"/>
      <c r="H21" s="419"/>
      <c r="I21" s="419"/>
      <c r="J21" s="419"/>
      <c r="K21" s="419"/>
      <c r="L21" s="327"/>
      <c r="M21" s="327"/>
      <c r="N21" s="327"/>
      <c r="O21" s="276"/>
      <c r="P21" s="276"/>
      <c r="Q21" s="276"/>
      <c r="R21" s="276"/>
    </row>
    <row r="22" spans="1:18">
      <c r="A22" t="s">
        <v>535</v>
      </c>
    </row>
    <row r="23" spans="1:18">
      <c r="A23">
        <v>1</v>
      </c>
      <c r="B23" t="s">
        <v>538</v>
      </c>
    </row>
    <row r="24" spans="1:18" ht="18.75">
      <c r="B24" s="413" t="s">
        <v>552</v>
      </c>
      <c r="C24" s="413"/>
      <c r="D24" s="413"/>
      <c r="E24" s="413"/>
      <c r="F24" s="413"/>
      <c r="G24" s="413"/>
      <c r="H24" s="413"/>
      <c r="I24" s="413"/>
      <c r="J24" s="413"/>
      <c r="K24" s="413"/>
    </row>
    <row r="25" spans="1:18">
      <c r="B25" s="439" t="s">
        <v>144</v>
      </c>
      <c r="C25" s="439" t="s">
        <v>0</v>
      </c>
      <c r="D25" s="442" t="s">
        <v>364</v>
      </c>
      <c r="E25" s="444" t="s">
        <v>156</v>
      </c>
      <c r="F25" s="445"/>
      <c r="G25" s="445"/>
      <c r="H25" s="445"/>
      <c r="I25" s="445"/>
      <c r="J25" s="445"/>
      <c r="K25" s="445"/>
    </row>
    <row r="26" spans="1:18">
      <c r="B26" s="439"/>
      <c r="C26" s="439"/>
      <c r="D26" s="443"/>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689</v>
      </c>
      <c r="D31" s="232">
        <v>30</v>
      </c>
      <c r="E31" s="222">
        <f>('12.Facility 1 - Trading'!D229/365)*$D$31</f>
        <v>1116108.8768219177</v>
      </c>
      <c r="F31" s="222">
        <f>('12.Facility 1 - Trading'!E229/365)*$D$31</f>
        <v>2144334.8885671231</v>
      </c>
      <c r="G31" s="222">
        <f>('12.Facility 1 - Trading'!F229/365)*$D$31</f>
        <v>2592629.4041420538</v>
      </c>
      <c r="H31" s="222">
        <f>('12.Facility 1 - Trading'!G229/365)*$D$31</f>
        <v>3080392.5340530612</v>
      </c>
      <c r="I31" s="222">
        <f>('12.Facility 1 - Trading'!H229/365)*$D$31</f>
        <v>3610450.4034448145</v>
      </c>
      <c r="J31" s="222">
        <f>('12.Facility 1 - Trading'!I229/365)*$D$31</f>
        <v>4185813.0784406089</v>
      </c>
      <c r="K31" s="222">
        <f>('12.Facility 1 - Trading'!J229/365)*$D$31</f>
        <v>4809685.8949273732</v>
      </c>
    </row>
    <row r="32" spans="1:18">
      <c r="B32" s="262">
        <v>4</v>
      </c>
      <c r="C32" s="223" t="s">
        <v>690</v>
      </c>
      <c r="D32" s="232">
        <v>30</v>
      </c>
      <c r="E32" s="222">
        <f>('13.Facility 2 Grain Processing'!D151/365)*$D$32</f>
        <v>54023.400295890409</v>
      </c>
      <c r="F32" s="222">
        <f>('13.Facility 2 Grain Processing'!E151/365)*$D$32</f>
        <v>87538.962385479463</v>
      </c>
      <c r="G32" s="222">
        <f>('13.Facility 2 Grain Processing'!F151/365)*$D$32</f>
        <v>122983.66605057532</v>
      </c>
      <c r="H32" s="222">
        <f>('13.Facility 2 Grain Processing'!G151/365)*$D$32</f>
        <v>161753.99267621717</v>
      </c>
      <c r="I32" s="222">
        <f>('13.Facility 2 Grain Processing'!H151/365)*$D$32</f>
        <v>204093.89279929674</v>
      </c>
      <c r="J32" s="222">
        <f>('13.Facility 2 Grain Processing'!I151/365)*$D$32</f>
        <v>250263.39795299363</v>
      </c>
      <c r="K32" s="222">
        <f>('13.Facility 2 Grain Processing'!J151/365)*$D$32</f>
        <v>300539.61889006197</v>
      </c>
    </row>
    <row r="33" spans="2:11">
      <c r="B33" s="262">
        <v>5</v>
      </c>
      <c r="C33" s="223" t="s">
        <v>300</v>
      </c>
      <c r="D33" s="232">
        <v>30</v>
      </c>
      <c r="E33" s="222">
        <f>('14. Facility 3 Warehouse'!D23/365)*$D$33</f>
        <v>0</v>
      </c>
      <c r="F33" s="222">
        <f>('14. Facility 3 Warehouse'!E23/365)*$D$33</f>
        <v>0</v>
      </c>
      <c r="G33" s="222">
        <f>('14. Facility 3 Warehouse'!F23/365)*$D$33</f>
        <v>0</v>
      </c>
      <c r="H33" s="222">
        <f>('14. Facility 3 Warehouse'!G23/365)*$D$33</f>
        <v>0</v>
      </c>
      <c r="I33" s="222">
        <f>('14. Facility 3 Warehouse'!H23/365)*$D$33</f>
        <v>0</v>
      </c>
      <c r="J33" s="222">
        <f>('14. Facility 3 Warehouse'!I23/365)*$D$33</f>
        <v>0</v>
      </c>
      <c r="K33" s="222">
        <f>('14. Facility 3 Warehouse'!J23/365)*$D$33</f>
        <v>0</v>
      </c>
    </row>
    <row r="34" spans="2:11" ht="30">
      <c r="B34" s="262">
        <v>6</v>
      </c>
      <c r="C34" s="223" t="s">
        <v>530</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1170132.2771178081</v>
      </c>
      <c r="F36" s="222">
        <f t="shared" ref="F36:K36" si="8">SUM(F29:F35)</f>
        <v>2231873.8509526025</v>
      </c>
      <c r="G36" s="222">
        <f t="shared" si="8"/>
        <v>2715613.070192629</v>
      </c>
      <c r="H36" s="222">
        <f t="shared" si="8"/>
        <v>3242146.5267292783</v>
      </c>
      <c r="I36" s="222">
        <f t="shared" si="8"/>
        <v>3814544.2962441114</v>
      </c>
      <c r="J36" s="222">
        <f t="shared" si="8"/>
        <v>4436076.4763936028</v>
      </c>
      <c r="K36" s="222">
        <f t="shared" si="8"/>
        <v>5110225.5138174351</v>
      </c>
    </row>
    <row r="37" spans="2:11">
      <c r="B37" s="220" t="s">
        <v>172</v>
      </c>
      <c r="C37" s="221" t="s">
        <v>345</v>
      </c>
      <c r="D37" s="232"/>
      <c r="E37" s="222">
        <f>'5.Closing Stock &amp; W Capital'!E20</f>
        <v>7435320.564524998</v>
      </c>
      <c r="F37" s="222">
        <f>'5.Closing Stock &amp; W Capital'!F20</f>
        <v>9119014.4429606237</v>
      </c>
      <c r="G37" s="222">
        <f>'5.Closing Stock &amp; W Capital'!G20</f>
        <v>10952489.407828497</v>
      </c>
      <c r="H37" s="222">
        <f>'5.Closing Stock &amp; W Capital'!H20</f>
        <v>12946514.33307576</v>
      </c>
      <c r="I37" s="222">
        <f>'5.Closing Stock &amp; W Capital'!I20</f>
        <v>15112560.527328176</v>
      </c>
      <c r="J37" s="222">
        <f>'5.Closing Stock &amp; W Capital'!J20</f>
        <v>17462845.055173147</v>
      </c>
      <c r="K37" s="222">
        <f>'5.Closing Stock &amp; W Capital'!K20</f>
        <v>20010376.634484287</v>
      </c>
    </row>
    <row r="38" spans="2:11">
      <c r="B38" s="220"/>
      <c r="C38" s="223"/>
      <c r="D38" s="232"/>
      <c r="E38" s="222"/>
      <c r="F38" s="222"/>
      <c r="G38" s="222"/>
      <c r="H38" s="222"/>
      <c r="I38" s="222"/>
      <c r="J38" s="222"/>
      <c r="K38" s="222"/>
    </row>
    <row r="39" spans="2:11">
      <c r="B39" s="440" t="s">
        <v>1</v>
      </c>
      <c r="C39" s="441"/>
      <c r="D39" s="238"/>
      <c r="E39" s="224">
        <f>SUM(E36:E37)</f>
        <v>8605452.8416428063</v>
      </c>
      <c r="F39" s="224">
        <f t="shared" ref="F39:K39" si="9">SUM(F36:F37)</f>
        <v>11350888.293913227</v>
      </c>
      <c r="G39" s="224">
        <f t="shared" si="9"/>
        <v>13668102.478021126</v>
      </c>
      <c r="H39" s="224">
        <f t="shared" si="9"/>
        <v>16188660.859805038</v>
      </c>
      <c r="I39" s="224">
        <f t="shared" si="9"/>
        <v>18927104.823572289</v>
      </c>
      <c r="J39" s="224">
        <f t="shared" si="9"/>
        <v>21898921.53156675</v>
      </c>
      <c r="K39" s="224">
        <f t="shared" si="9"/>
        <v>25120602.148301721</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15</v>
      </c>
      <c r="E44" s="222">
        <f>('12.Facility 1 - Trading'!D292/365)*$D$44</f>
        <v>461655.35084434913</v>
      </c>
      <c r="F44" s="222">
        <f>('12.Facility 1 - Trading'!E292/365)*$D$44</f>
        <v>869827.07439288951</v>
      </c>
      <c r="G44" s="222">
        <f>('12.Facility 1 - Trading'!F292/365)*$D$44</f>
        <v>1051399.971011681</v>
      </c>
      <c r="H44" s="222">
        <f>('12.Facility 1 - Trading'!G292/365)*$D$44</f>
        <v>1248955.5896063703</v>
      </c>
      <c r="I44" s="222">
        <f>('12.Facility 1 - Trading'!H292/365)*$D$44</f>
        <v>1463638.2701329987</v>
      </c>
      <c r="J44" s="222">
        <f>('12.Facility 1 - Trading'!I292/365)*$D$44</f>
        <v>1696666.8297382747</v>
      </c>
      <c r="K44" s="222">
        <f>('12.Facility 1 - Trading'!J292/365)*$D$44</f>
        <v>1949339.1496287447</v>
      </c>
    </row>
    <row r="45" spans="2:11">
      <c r="B45" s="262">
        <v>4</v>
      </c>
      <c r="C45" s="223" t="str">
        <f t="shared" si="10"/>
        <v>Cleaning, Grading &amp; Sorting</v>
      </c>
      <c r="D45" s="232">
        <v>15</v>
      </c>
      <c r="E45" s="222">
        <f>('13.Facility 2 Grain Processing'!D172/365)*$D$45</f>
        <v>2698.2352633561632</v>
      </c>
      <c r="F45" s="222">
        <f>('13.Facility 2 Grain Processing'!E172/365)*$D$45</f>
        <v>5511.5700212928086</v>
      </c>
      <c r="G45" s="222">
        <f>('13.Facility 2 Grain Processing'!F172/365)*$D$45</f>
        <v>7937.0216890736301</v>
      </c>
      <c r="H45" s="222">
        <f>('13.Facility 2 Grain Processing'!G172/365)*$D$45</f>
        <v>10591.239598579305</v>
      </c>
      <c r="I45" s="222">
        <f>('13.Facility 2 Grain Processing'!H172/365)*$D$45</f>
        <v>13491.036744812862</v>
      </c>
      <c r="J45" s="222">
        <f>('13.Facility 2 Grain Processing'!I172/365)*$D$45</f>
        <v>16654.335506673324</v>
      </c>
      <c r="K45" s="222">
        <f>('13.Facility 2 Grain Processing'!J172/365)*$D$45</f>
        <v>20100.236552857801</v>
      </c>
    </row>
    <row r="46" spans="2:11">
      <c r="B46" s="262">
        <v>5</v>
      </c>
      <c r="C46" s="223" t="str">
        <f t="shared" si="10"/>
        <v>Warehouse</v>
      </c>
      <c r="D46" s="232">
        <v>30</v>
      </c>
      <c r="E46" s="222">
        <f>('14. Facility 3 Warehouse'!D34/365)*$D$46</f>
        <v>0</v>
      </c>
      <c r="F46" s="222">
        <f>('14. Facility 3 Warehouse'!E34/365)*$D$46</f>
        <v>0</v>
      </c>
      <c r="G46" s="222">
        <f>('14. Facility 3 Warehouse'!F34/365)*$D$46</f>
        <v>0</v>
      </c>
      <c r="H46" s="222">
        <f>('14. Facility 3 Warehouse'!G34/365)*$D$46</f>
        <v>0</v>
      </c>
      <c r="I46" s="222">
        <f>('14. Facility 3 Warehouse'!H34/365)*$D$46</f>
        <v>0</v>
      </c>
      <c r="J46" s="222">
        <f>('14. Facility 3 Warehouse'!I34/365)*$D$46</f>
        <v>0</v>
      </c>
      <c r="K46" s="222">
        <f>('14. Facility 3 Warehouse'!J34/365)*$D$46</f>
        <v>0</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464353.58610770531</v>
      </c>
      <c r="F49" s="224">
        <f t="shared" ref="F49:K49" si="11">SUM(F42:F48)</f>
        <v>875338.64441418229</v>
      </c>
      <c r="G49" s="224">
        <f t="shared" si="11"/>
        <v>1059336.9927007547</v>
      </c>
      <c r="H49" s="224">
        <f t="shared" si="11"/>
        <v>1259546.8292049496</v>
      </c>
      <c r="I49" s="224">
        <f t="shared" si="11"/>
        <v>1477129.3068778117</v>
      </c>
      <c r="J49" s="224">
        <f t="shared" si="11"/>
        <v>1713321.1652449481</v>
      </c>
      <c r="K49" s="224">
        <f t="shared" si="11"/>
        <v>1969439.3861816025</v>
      </c>
    </row>
    <row r="50" spans="1:12">
      <c r="B50" s="220" t="s">
        <v>174</v>
      </c>
      <c r="C50" s="221" t="s">
        <v>154</v>
      </c>
      <c r="D50" s="232"/>
      <c r="E50" s="224">
        <f>E39-E49</f>
        <v>8141099.2555351006</v>
      </c>
      <c r="F50" s="224">
        <f t="shared" ref="F50:K50" si="12">F39-F49</f>
        <v>10475549.649499044</v>
      </c>
      <c r="G50" s="224">
        <f t="shared" si="12"/>
        <v>12608765.485320371</v>
      </c>
      <c r="H50" s="224">
        <f t="shared" si="12"/>
        <v>14929114.03060009</v>
      </c>
      <c r="I50" s="224">
        <f t="shared" si="12"/>
        <v>17449975.516694479</v>
      </c>
      <c r="J50" s="224">
        <f t="shared" si="12"/>
        <v>20185600.366321802</v>
      </c>
      <c r="K50" s="224">
        <f t="shared" si="12"/>
        <v>23151162.762120117</v>
      </c>
    </row>
    <row r="51" spans="1:12">
      <c r="B51" s="220"/>
      <c r="C51" s="221" t="s">
        <v>134</v>
      </c>
      <c r="D51" s="271">
        <v>0.65</v>
      </c>
      <c r="E51" s="224">
        <f>E50*$D$51</f>
        <v>5291714.5160978157</v>
      </c>
      <c r="F51" s="224"/>
      <c r="G51" s="224"/>
      <c r="H51" s="224"/>
      <c r="I51" s="224"/>
      <c r="J51" s="224"/>
      <c r="K51" s="224"/>
    </row>
    <row r="53" spans="1:12">
      <c r="E53" s="29"/>
    </row>
    <row r="54" spans="1:12" ht="36.950000000000003" customHeight="1">
      <c r="A54" s="437" t="s">
        <v>414</v>
      </c>
      <c r="B54" s="438"/>
      <c r="C54" s="438"/>
      <c r="D54" s="438"/>
      <c r="E54" s="438"/>
      <c r="F54" s="438"/>
      <c r="G54" s="438"/>
      <c r="H54" s="438"/>
      <c r="I54" s="438"/>
      <c r="J54" s="438"/>
      <c r="K54" s="438"/>
      <c r="L54" s="438"/>
    </row>
    <row r="55" spans="1:12">
      <c r="A55" t="s">
        <v>539</v>
      </c>
    </row>
    <row r="56" spans="1:12">
      <c r="A56">
        <v>1</v>
      </c>
      <c r="B56" t="s">
        <v>692</v>
      </c>
    </row>
    <row r="57" spans="1:12">
      <c r="A57">
        <v>2</v>
      </c>
      <c r="B57" t="s">
        <v>693</v>
      </c>
    </row>
    <row r="58" spans="1:12">
      <c r="A58">
        <v>3</v>
      </c>
      <c r="B58" t="s">
        <v>540</v>
      </c>
    </row>
  </sheetData>
  <mergeCells count="13">
    <mergeCell ref="A54:L54"/>
    <mergeCell ref="B24:K24"/>
    <mergeCell ref="B25:B26"/>
    <mergeCell ref="C25:C26"/>
    <mergeCell ref="B39:C39"/>
    <mergeCell ref="D25:D26"/>
    <mergeCell ref="E25:K25"/>
    <mergeCell ref="N5:R5"/>
    <mergeCell ref="U4:V4"/>
    <mergeCell ref="U5:V5"/>
    <mergeCell ref="C2:K2"/>
    <mergeCell ref="A21:K21"/>
    <mergeCell ref="N4:R4"/>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topLeftCell="A11" zoomScale="80" zoomScaleSheetLayoutView="80" workbookViewId="0">
      <selection activeCell="E53" sqref="E53"/>
    </sheetView>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6" t="s">
        <v>706</v>
      </c>
      <c r="B2" s="416"/>
      <c r="C2" s="416"/>
      <c r="D2" s="416"/>
      <c r="E2" s="416"/>
      <c r="F2" s="416"/>
      <c r="G2" s="416"/>
      <c r="H2" s="416"/>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694</v>
      </c>
      <c r="B6" s="95">
        <f>'12.Facility 1 - Trading'!D229</f>
        <v>13579324.667999998</v>
      </c>
      <c r="C6" s="95">
        <f>'12.Facility 1 - Trading'!E229</f>
        <v>26089407.810899995</v>
      </c>
      <c r="D6" s="95">
        <f>'12.Facility 1 - Trading'!F229</f>
        <v>31543657.750394993</v>
      </c>
      <c r="E6" s="95">
        <f>'12.Facility 1 - Trading'!G229</f>
        <v>37478109.164312243</v>
      </c>
      <c r="F6" s="95">
        <f>'12.Facility 1 - Trading'!H229</f>
        <v>43927146.575245246</v>
      </c>
      <c r="G6" s="95">
        <f>'12.Facility 1 - Trading'!I229</f>
        <v>50927392.454360746</v>
      </c>
      <c r="H6" s="95">
        <f>'12.Facility 1 - Trading'!J229</f>
        <v>58517845.054949701</v>
      </c>
    </row>
    <row r="7" spans="1:8">
      <c r="A7" s="94" t="s">
        <v>716</v>
      </c>
      <c r="B7" s="95">
        <f>'13.Facility 2 Grain Processing'!D151</f>
        <v>657284.70360000001</v>
      </c>
      <c r="C7" s="95">
        <f>'13.Facility 2 Grain Processing'!E151</f>
        <v>1065057.3756900001</v>
      </c>
      <c r="D7" s="95">
        <f>'13.Facility 2 Grain Processing'!F151</f>
        <v>1496301.2702819998</v>
      </c>
      <c r="E7" s="95">
        <f>'13.Facility 2 Grain Processing'!G151</f>
        <v>1968006.9108939753</v>
      </c>
      <c r="F7" s="95">
        <f>'13.Facility 2 Grain Processing'!H151</f>
        <v>2483142.3623914435</v>
      </c>
      <c r="G7" s="95">
        <f>'13.Facility 2 Grain Processing'!I151</f>
        <v>3044871.3417614223</v>
      </c>
      <c r="H7" s="95">
        <f>'13.Facility 2 Grain Processing'!J151</f>
        <v>3656565.3631624207</v>
      </c>
    </row>
    <row r="8" spans="1:8">
      <c r="A8" s="94" t="s">
        <v>507</v>
      </c>
      <c r="B8" s="95">
        <f>'14. Facility 3 Warehouse'!D23</f>
        <v>0</v>
      </c>
      <c r="C8" s="95">
        <f>'14. Facility 3 Warehouse'!E23</f>
        <v>0</v>
      </c>
      <c r="D8" s="95">
        <f>'14. Facility 3 Warehouse'!F23</f>
        <v>0</v>
      </c>
      <c r="E8" s="95">
        <f>'14. Facility 3 Warehouse'!G23</f>
        <v>0</v>
      </c>
      <c r="F8" s="95">
        <f>'14. Facility 3 Warehouse'!H23</f>
        <v>0</v>
      </c>
      <c r="G8" s="95">
        <f>'14. Facility 3 Warehouse'!I23</f>
        <v>0</v>
      </c>
      <c r="H8" s="95">
        <f>'14. Facility 3 Warehouse'!J23</f>
        <v>0</v>
      </c>
    </row>
    <row r="9" spans="1:8">
      <c r="A9" s="94" t="s">
        <v>508</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506</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529</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14236609.371599998</v>
      </c>
      <c r="C13" s="114">
        <f t="shared" ref="C13:H13" si="0">SUM(C6:C12)</f>
        <v>27154465.186589994</v>
      </c>
      <c r="D13" s="114">
        <f t="shared" si="0"/>
        <v>33039959.020676993</v>
      </c>
      <c r="E13" s="114">
        <f t="shared" si="0"/>
        <v>39446116.07520622</v>
      </c>
      <c r="F13" s="114">
        <f t="shared" si="0"/>
        <v>46410288.937636688</v>
      </c>
      <c r="G13" s="114">
        <f t="shared" si="0"/>
        <v>53972263.796122171</v>
      </c>
      <c r="H13" s="114">
        <f t="shared" si="0"/>
        <v>62174410.418112122</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11233613.537212495</v>
      </c>
      <c r="C16" s="95">
        <f>'12.Facility 1 - Trading'!E292</f>
        <v>21165792.143560313</v>
      </c>
      <c r="D16" s="95">
        <f>'12.Facility 1 - Trading'!F292</f>
        <v>25584065.961284243</v>
      </c>
      <c r="E16" s="95">
        <f>'12.Facility 1 - Trading'!G292</f>
        <v>30391252.680421673</v>
      </c>
      <c r="F16" s="95">
        <f>'12.Facility 1 - Trading'!H292</f>
        <v>35615197.906569637</v>
      </c>
      <c r="G16" s="95">
        <f>'12.Facility 1 - Trading'!I292</f>
        <v>41285559.523631349</v>
      </c>
      <c r="H16" s="95">
        <f>'12.Facility 1 - Trading'!J292</f>
        <v>47433919.307632789</v>
      </c>
    </row>
    <row r="17" spans="1:8">
      <c r="A17" s="94" t="str">
        <f t="shared" si="1"/>
        <v>Faclitiy 2 - Processing Unit- Oil Mill Unit</v>
      </c>
      <c r="B17" s="95">
        <f>'13.Facility 2 Grain Processing'!D172</f>
        <v>65657.058074999979</v>
      </c>
      <c r="C17" s="95">
        <f>'13.Facility 2 Grain Processing'!E172</f>
        <v>134114.87051812501</v>
      </c>
      <c r="D17" s="95">
        <f>'13.Facility 2 Grain Processing'!F172</f>
        <v>193134.19443412501</v>
      </c>
      <c r="E17" s="95">
        <f>'13.Facility 2 Grain Processing'!G172</f>
        <v>257720.16356542974</v>
      </c>
      <c r="F17" s="95">
        <f>'13.Facility 2 Grain Processing'!H172</f>
        <v>328281.89412377967</v>
      </c>
      <c r="G17" s="95">
        <f>'13.Facility 2 Grain Processing'!I172</f>
        <v>405255.49732905091</v>
      </c>
      <c r="H17" s="95">
        <f>'13.Facility 2 Grain Processing'!J172</f>
        <v>489105.75611953984</v>
      </c>
    </row>
    <row r="18" spans="1:8">
      <c r="A18" s="94" t="str">
        <f t="shared" si="1"/>
        <v>Faclitiy 3 - Warehouse</v>
      </c>
      <c r="B18" s="95">
        <f>'14. Facility 3 Warehouse'!D34</f>
        <v>0</v>
      </c>
      <c r="C18" s="95">
        <f>'14. Facility 3 Warehouse'!E34</f>
        <v>0</v>
      </c>
      <c r="D18" s="95">
        <f>'14. Facility 3 Warehouse'!F34</f>
        <v>0</v>
      </c>
      <c r="E18" s="95">
        <f>'14. Facility 3 Warehouse'!G34</f>
        <v>0</v>
      </c>
      <c r="F18" s="95">
        <f>'14. Facility 3 Warehouse'!H34</f>
        <v>0</v>
      </c>
      <c r="G18" s="95">
        <f>'14. Facility 3 Warehouse'!I34</f>
        <v>0</v>
      </c>
      <c r="H18" s="95">
        <f>'14. Facility 3 Warehouse'!J34</f>
        <v>0</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11299270.595287494</v>
      </c>
      <c r="C23" s="114">
        <f t="shared" ref="C23:H23" si="2">SUM(C16:C22)</f>
        <v>21299907.014078438</v>
      </c>
      <c r="D23" s="114">
        <f t="shared" si="2"/>
        <v>25777200.155718368</v>
      </c>
      <c r="E23" s="114">
        <f t="shared" si="2"/>
        <v>30648972.843987104</v>
      </c>
      <c r="F23" s="114">
        <f t="shared" si="2"/>
        <v>35943479.800693415</v>
      </c>
      <c r="G23" s="114">
        <f t="shared" si="2"/>
        <v>41690815.020960398</v>
      </c>
      <c r="H23" s="114">
        <f t="shared" si="2"/>
        <v>47923025.063752331</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Oil Mill Unit</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0</v>
      </c>
      <c r="C28" s="95">
        <f>'14. Facility 3 Warehouse'!E43</f>
        <v>0</v>
      </c>
      <c r="D28" s="95">
        <f>'14. Facility 3 Warehouse'!F43</f>
        <v>0</v>
      </c>
      <c r="E28" s="95">
        <f>'14. Facility 3 Warehouse'!G43</f>
        <v>0</v>
      </c>
      <c r="F28" s="95">
        <f>'14. Facility 3 Warehouse'!H43</f>
        <v>0</v>
      </c>
      <c r="G28" s="95">
        <f>'14. Facility 3 Warehouse'!I43</f>
        <v>0</v>
      </c>
      <c r="H28" s="95">
        <f>'14. Facility 3 Warehouse'!J43</f>
        <v>0</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1460000</v>
      </c>
      <c r="C33" s="95">
        <f>'3.Other Exp &amp; Taxes'!F23</f>
        <v>1533000</v>
      </c>
      <c r="D33" s="95">
        <f>'3.Other Exp &amp; Taxes'!G23</f>
        <v>1609650</v>
      </c>
      <c r="E33" s="95">
        <f>'3.Other Exp &amp; Taxes'!H23</f>
        <v>1690132.5000000002</v>
      </c>
      <c r="F33" s="95">
        <f>'3.Other Exp &amp; Taxes'!I23</f>
        <v>1774639.1250000005</v>
      </c>
      <c r="G33" s="95">
        <f>'3.Other Exp &amp; Taxes'!J23</f>
        <v>1863371.0812500003</v>
      </c>
      <c r="H33" s="95">
        <f>'3.Other Exp &amp; Taxes'!K23</f>
        <v>1956539.6353125004</v>
      </c>
    </row>
    <row r="34" spans="1:10">
      <c r="A34" s="96" t="s">
        <v>323</v>
      </c>
      <c r="B34" s="114">
        <f t="shared" ref="B34:H34" si="4">SUM(B26:B33)</f>
        <v>3380000</v>
      </c>
      <c r="C34" s="114">
        <f t="shared" si="4"/>
        <v>3549000</v>
      </c>
      <c r="D34" s="114">
        <f t="shared" si="4"/>
        <v>3726450</v>
      </c>
      <c r="E34" s="114">
        <f t="shared" si="4"/>
        <v>3912772.5000000009</v>
      </c>
      <c r="F34" s="114">
        <f t="shared" si="4"/>
        <v>4108411.1250000009</v>
      </c>
      <c r="G34" s="114">
        <f t="shared" si="4"/>
        <v>4313831.6812500004</v>
      </c>
      <c r="H34" s="114">
        <f t="shared" si="4"/>
        <v>4529523.2653125012</v>
      </c>
    </row>
    <row r="35" spans="1:10">
      <c r="A35" s="94"/>
      <c r="B35" s="95"/>
      <c r="C35" s="95"/>
      <c r="D35" s="95"/>
      <c r="E35" s="95"/>
      <c r="F35" s="95"/>
      <c r="G35" s="95"/>
      <c r="H35" s="95"/>
    </row>
    <row r="36" spans="1:10">
      <c r="A36" s="96" t="s">
        <v>328</v>
      </c>
      <c r="B36" s="114">
        <f t="shared" ref="B36:H36" si="5">B23+B34</f>
        <v>14679270.595287494</v>
      </c>
      <c r="C36" s="114">
        <f t="shared" si="5"/>
        <v>24848907.014078438</v>
      </c>
      <c r="D36" s="114">
        <f t="shared" si="5"/>
        <v>29503650.155718368</v>
      </c>
      <c r="E36" s="114">
        <f t="shared" si="5"/>
        <v>34561745.343987107</v>
      </c>
      <c r="F36" s="114">
        <f t="shared" si="5"/>
        <v>40051890.925693415</v>
      </c>
      <c r="G36" s="114">
        <f t="shared" si="5"/>
        <v>46004646.702210397</v>
      </c>
      <c r="H36" s="114">
        <f t="shared" si="5"/>
        <v>52452548.329064831</v>
      </c>
    </row>
    <row r="37" spans="1:10">
      <c r="A37" s="94"/>
      <c r="B37" s="95"/>
      <c r="C37" s="95"/>
      <c r="D37" s="95"/>
      <c r="E37" s="95"/>
      <c r="F37" s="95"/>
      <c r="G37" s="95"/>
      <c r="H37" s="95"/>
    </row>
    <row r="38" spans="1:10">
      <c r="A38" s="96" t="s">
        <v>136</v>
      </c>
      <c r="B38" s="114">
        <f t="shared" ref="B38:H38" si="6">B13-B36</f>
        <v>-442661.22368749604</v>
      </c>
      <c r="C38" s="114">
        <f t="shared" si="6"/>
        <v>2305558.1725115553</v>
      </c>
      <c r="D38" s="114">
        <f t="shared" si="6"/>
        <v>3536308.8649586253</v>
      </c>
      <c r="E38" s="114">
        <f t="shared" si="6"/>
        <v>4884370.7312191129</v>
      </c>
      <c r="F38" s="114">
        <f t="shared" si="6"/>
        <v>6358398.0119432732</v>
      </c>
      <c r="G38" s="114">
        <f t="shared" si="6"/>
        <v>7967617.0939117745</v>
      </c>
      <c r="H38" s="114">
        <f t="shared" si="6"/>
        <v>9721862.0890472904</v>
      </c>
      <c r="J38" s="67">
        <f>B47+B40+B41</f>
        <v>-1175360.156685655</v>
      </c>
    </row>
    <row r="39" spans="1:10">
      <c r="A39" s="94"/>
      <c r="B39" s="95"/>
      <c r="C39" s="95"/>
      <c r="D39" s="95"/>
      <c r="E39" s="95"/>
      <c r="F39" s="95"/>
      <c r="G39" s="95"/>
      <c r="H39" s="95"/>
      <c r="J39">
        <f>'5.Closing Stock &amp; W Capital'!E51</f>
        <v>5291714.5160978157</v>
      </c>
    </row>
    <row r="40" spans="1:10">
      <c r="A40" s="98" t="s">
        <v>17</v>
      </c>
      <c r="B40" s="95">
        <f>'3.Other Exp &amp; Taxes'!C66</f>
        <v>169238</v>
      </c>
      <c r="C40" s="95">
        <f>'3.Other Exp &amp; Taxes'!D66</f>
        <v>169238</v>
      </c>
      <c r="D40" s="95">
        <f>'3.Other Exp &amp; Taxes'!E66</f>
        <v>169238</v>
      </c>
      <c r="E40" s="95">
        <f>'3.Other Exp &amp; Taxes'!F66</f>
        <v>169238</v>
      </c>
      <c r="F40" s="95">
        <f>'3.Other Exp &amp; Taxes'!G66</f>
        <v>169238</v>
      </c>
      <c r="G40" s="95">
        <f>'3.Other Exp &amp; Taxes'!H66</f>
        <v>169238</v>
      </c>
      <c r="H40" s="95">
        <f>'3.Other Exp &amp; Taxes'!I66</f>
        <v>169238</v>
      </c>
      <c r="J40" s="67">
        <f>J38+J39</f>
        <v>4116354.3594121607</v>
      </c>
    </row>
    <row r="41" spans="1:10">
      <c r="A41" s="98" t="s">
        <v>137</v>
      </c>
      <c r="B41" s="95">
        <f>'3.Other Exp &amp; Taxes'!C86</f>
        <v>20000</v>
      </c>
      <c r="C41" s="95">
        <f>'3.Other Exp &amp; Taxes'!D86</f>
        <v>20000</v>
      </c>
      <c r="D41" s="95">
        <f>'3.Other Exp &amp; Taxes'!E86</f>
        <v>20000</v>
      </c>
      <c r="E41" s="95">
        <f>'3.Other Exp &amp; Taxes'!F86</f>
        <v>20000</v>
      </c>
      <c r="F41" s="95">
        <f>'3.Other Exp &amp; Taxes'!G86</f>
        <v>20000</v>
      </c>
      <c r="G41" s="95">
        <f>'3.Other Exp &amp; Taxes'!H86</f>
        <v>0</v>
      </c>
      <c r="H41" s="95">
        <f>'3.Other Exp &amp; Taxes'!I86</f>
        <v>0</v>
      </c>
    </row>
    <row r="42" spans="1:10">
      <c r="A42" s="94"/>
      <c r="B42" s="95"/>
      <c r="C42" s="95"/>
      <c r="D42" s="95"/>
      <c r="E42" s="95"/>
      <c r="F42" s="95"/>
      <c r="G42" s="95"/>
      <c r="H42" s="95"/>
    </row>
    <row r="43" spans="1:10">
      <c r="A43" s="96" t="s">
        <v>138</v>
      </c>
      <c r="B43" s="114">
        <f>B38-B40-B41</f>
        <v>-631899.22368749604</v>
      </c>
      <c r="C43" s="114">
        <f t="shared" ref="C43:H43" si="7">C38-C40-C41</f>
        <v>2116320.1725115553</v>
      </c>
      <c r="D43" s="114">
        <f t="shared" si="7"/>
        <v>3347070.8649586253</v>
      </c>
      <c r="E43" s="114">
        <f t="shared" si="7"/>
        <v>4695132.7312191129</v>
      </c>
      <c r="F43" s="114">
        <f t="shared" si="7"/>
        <v>6169160.0119432732</v>
      </c>
      <c r="G43" s="114">
        <f t="shared" si="7"/>
        <v>7798379.0939117745</v>
      </c>
      <c r="H43" s="114">
        <f t="shared" si="7"/>
        <v>9552624.0890472904</v>
      </c>
    </row>
    <row r="44" spans="1:10">
      <c r="A44" s="94"/>
      <c r="B44" s="95"/>
      <c r="C44" s="95"/>
      <c r="D44" s="95"/>
      <c r="E44" s="95"/>
      <c r="F44" s="95"/>
      <c r="G44" s="95"/>
      <c r="H44" s="95"/>
    </row>
    <row r="45" spans="1:10">
      <c r="A45" s="94" t="s">
        <v>24</v>
      </c>
      <c r="B45" s="95">
        <f>'8.Cash Flow '!C26+'8.Cash Flow '!C28</f>
        <v>732698.93299815909</v>
      </c>
      <c r="C45" s="95">
        <f>'8.Cash Flow '!D26+'8.Cash Flow '!D28</f>
        <v>1257065.9579398853</v>
      </c>
      <c r="D45" s="95">
        <f>'8.Cash Flow '!E26+'8.Cash Flow '!E28</f>
        <v>1513051.8582384444</v>
      </c>
      <c r="E45" s="95">
        <f>'8.Cash Flow '!F26+'8.Cash Flow '!F28</f>
        <v>1791493.6836720107</v>
      </c>
      <c r="F45" s="95">
        <f>'8.Cash Flow '!G26+'8.Cash Flow '!G28</f>
        <v>2093997.0620033373</v>
      </c>
      <c r="G45" s="95">
        <f>'8.Cash Flow '!H26+'8.Cash Flow '!H28</f>
        <v>2422272.043958616</v>
      </c>
      <c r="H45" s="95">
        <f>'8.Cash Flow '!I26+'8.Cash Flow '!I28</f>
        <v>2778139.5314544137</v>
      </c>
    </row>
    <row r="46" spans="1:10">
      <c r="A46" s="94"/>
      <c r="B46" s="95"/>
      <c r="C46" s="95"/>
      <c r="D46" s="95"/>
      <c r="E46" s="95"/>
      <c r="F46" s="95"/>
      <c r="G46" s="95"/>
      <c r="H46" s="95"/>
    </row>
    <row r="47" spans="1:10">
      <c r="A47" s="94" t="s">
        <v>25</v>
      </c>
      <c r="B47" s="95">
        <f>B43-B45</f>
        <v>-1364598.156685655</v>
      </c>
      <c r="C47" s="95">
        <f t="shared" ref="C47:H47" si="8">C43-C45</f>
        <v>859254.21457166993</v>
      </c>
      <c r="D47" s="95">
        <f t="shared" si="8"/>
        <v>1834019.0067201809</v>
      </c>
      <c r="E47" s="95">
        <f t="shared" si="8"/>
        <v>2903639.047547102</v>
      </c>
      <c r="F47" s="95">
        <f t="shared" si="8"/>
        <v>4075162.9499399359</v>
      </c>
      <c r="G47" s="95">
        <f t="shared" si="8"/>
        <v>5376107.0499531589</v>
      </c>
      <c r="H47" s="95">
        <f t="shared" si="8"/>
        <v>6774484.5575928763</v>
      </c>
    </row>
    <row r="48" spans="1:10">
      <c r="A48" s="94" t="s">
        <v>26</v>
      </c>
      <c r="B48" s="95">
        <f>'3.Other Exp &amp; Taxes'!B99</f>
        <v>-402340.03917141375</v>
      </c>
      <c r="C48" s="95">
        <f>'3.Other Exp &amp; Taxes'!C99</f>
        <v>168998.05364291748</v>
      </c>
      <c r="D48" s="95">
        <f>'3.Other Exp &amp; Taxes'!D99</f>
        <v>425623.00168004521</v>
      </c>
      <c r="E48" s="95">
        <f>'3.Other Exp &amp; Taxes'!E99</f>
        <v>703960.19938677549</v>
      </c>
      <c r="F48" s="95">
        <f>'3.Other Exp &amp; Taxes'!F99</f>
        <v>1006114.1843599841</v>
      </c>
      <c r="G48" s="95">
        <f>'3.Other Exp &amp; Taxes'!G99</f>
        <v>1339236.4523320398</v>
      </c>
      <c r="H48" s="95">
        <f>'3.Other Exp &amp; Taxes'!H99</f>
        <v>1695550.8622654066</v>
      </c>
    </row>
    <row r="49" spans="1:9">
      <c r="A49" s="96" t="s">
        <v>28</v>
      </c>
      <c r="B49" s="95">
        <f>B47-B48</f>
        <v>-962258.11751424125</v>
      </c>
      <c r="C49" s="95">
        <f>C47-C48</f>
        <v>690256.16092875251</v>
      </c>
      <c r="D49" s="95">
        <f>D47-D48</f>
        <v>1408396.0050401357</v>
      </c>
      <c r="E49" s="95">
        <f>E47-E48</f>
        <v>2199678.8481603265</v>
      </c>
      <c r="F49" s="95">
        <f>F47-F48</f>
        <v>3069048.7655799519</v>
      </c>
      <c r="G49" s="95">
        <f t="shared" ref="G49:H49" si="9">G47-G48</f>
        <v>4036870.5976211191</v>
      </c>
      <c r="H49" s="95">
        <f t="shared" si="9"/>
        <v>5078933.6953274701</v>
      </c>
    </row>
    <row r="50" spans="1:9">
      <c r="A50" s="93" t="s">
        <v>509</v>
      </c>
      <c r="B50" s="111">
        <f>B49</f>
        <v>-962258.11751424125</v>
      </c>
      <c r="C50" s="111">
        <f t="shared" ref="C50:H50" si="10">B50+C49</f>
        <v>-272001.95658548875</v>
      </c>
      <c r="D50" s="111">
        <f t="shared" si="10"/>
        <v>1136394.048454647</v>
      </c>
      <c r="E50" s="111">
        <f t="shared" si="10"/>
        <v>3336072.8966149734</v>
      </c>
      <c r="F50" s="111">
        <f t="shared" si="10"/>
        <v>6405121.6621949254</v>
      </c>
      <c r="G50" s="111">
        <f t="shared" si="10"/>
        <v>10441992.259816045</v>
      </c>
      <c r="H50" s="111">
        <f t="shared" si="10"/>
        <v>15520925.955143515</v>
      </c>
    </row>
    <row r="51" spans="1:9" ht="32.450000000000003" customHeight="1">
      <c r="A51" s="446" t="s">
        <v>408</v>
      </c>
      <c r="B51" s="446"/>
      <c r="C51" s="446"/>
      <c r="D51" s="446"/>
      <c r="E51" s="446"/>
      <c r="F51" s="446"/>
      <c r="G51" s="446"/>
      <c r="H51" s="446"/>
      <c r="I51" s="446"/>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zoomScale="80" zoomScaleSheetLayoutView="80" workbookViewId="0">
      <selection activeCell="A3" sqref="A3:H47"/>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0"/>
      <c r="B1" s="430"/>
      <c r="C1" s="430"/>
      <c r="D1" s="430"/>
      <c r="E1" s="430"/>
      <c r="F1" s="430"/>
    </row>
    <row r="2" spans="1:18" ht="18.75">
      <c r="A2" s="447" t="s">
        <v>708</v>
      </c>
      <c r="B2" s="416"/>
      <c r="C2" s="416"/>
      <c r="D2" s="416"/>
      <c r="E2" s="416"/>
      <c r="F2" s="416"/>
      <c r="G2" s="416"/>
      <c r="H2" s="416"/>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4518694.3985835761</v>
      </c>
      <c r="C7" s="128">
        <f>'8.Cash Flow '!D33</f>
        <v>5398188.5595123246</v>
      </c>
      <c r="D7" s="128">
        <f>'8.Cash Flow '!E33</f>
        <v>6995822.5645524561</v>
      </c>
      <c r="E7" s="128">
        <f>'8.Cash Flow '!F33</f>
        <v>9384739.4127127826</v>
      </c>
      <c r="F7" s="128">
        <f>'8.Cash Flow '!G33</f>
        <v>12643026.178292736</v>
      </c>
      <c r="G7" s="128">
        <f>'8.Cash Flow '!H33</f>
        <v>16849134.775913849</v>
      </c>
      <c r="H7" s="128">
        <f>'8.Cash Flow '!I33</f>
        <v>22097306.471241325</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588</v>
      </c>
      <c r="B9" s="130"/>
      <c r="C9" s="130"/>
      <c r="D9" s="130"/>
      <c r="E9" s="130"/>
      <c r="F9" s="130"/>
      <c r="G9" s="130"/>
      <c r="H9" s="130"/>
      <c r="K9" s="68"/>
      <c r="L9" s="68"/>
      <c r="M9" s="68"/>
      <c r="N9" s="68"/>
      <c r="O9" s="68"/>
      <c r="P9" s="68"/>
      <c r="Q9" s="68"/>
      <c r="R9" s="68"/>
    </row>
    <row r="10" spans="1:18">
      <c r="A10" s="125" t="s">
        <v>251</v>
      </c>
      <c r="B10" s="128">
        <f t="shared" ref="B10:H10" si="0">SUM(B7:B9)</f>
        <v>4518694.3985835761</v>
      </c>
      <c r="C10" s="128">
        <f t="shared" si="0"/>
        <v>5398188.5595123246</v>
      </c>
      <c r="D10" s="128">
        <f t="shared" si="0"/>
        <v>6995822.5645524561</v>
      </c>
      <c r="E10" s="128">
        <f t="shared" si="0"/>
        <v>9384739.4127127826</v>
      </c>
      <c r="F10" s="128">
        <f t="shared" si="0"/>
        <v>12643026.178292736</v>
      </c>
      <c r="G10" s="128">
        <f t="shared" si="0"/>
        <v>16849134.775913849</v>
      </c>
      <c r="H10" s="128">
        <f t="shared" si="0"/>
        <v>22097306.471241325</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2900000</v>
      </c>
      <c r="C12" s="130">
        <f>'3.Other Exp &amp; Taxes'!D65</f>
        <v>2730762</v>
      </c>
      <c r="D12" s="130">
        <f>'3.Other Exp &amp; Taxes'!E65</f>
        <v>2561524</v>
      </c>
      <c r="E12" s="130">
        <f>'3.Other Exp &amp; Taxes'!F65</f>
        <v>2392286</v>
      </c>
      <c r="F12" s="130">
        <f>'3.Other Exp &amp; Taxes'!G65</f>
        <v>2223048</v>
      </c>
      <c r="G12" s="130">
        <f>'3.Other Exp &amp; Taxes'!H65</f>
        <v>2053810</v>
      </c>
      <c r="H12" s="130">
        <f>'3.Other Exp &amp; Taxes'!I65</f>
        <v>1884572</v>
      </c>
    </row>
    <row r="13" spans="1:18">
      <c r="A13" s="131" t="s">
        <v>253</v>
      </c>
      <c r="B13" s="130">
        <f>'3.Other Exp &amp; Taxes'!C66</f>
        <v>169238</v>
      </c>
      <c r="C13" s="130">
        <f>'3.Other Exp &amp; Taxes'!D66</f>
        <v>169238</v>
      </c>
      <c r="D13" s="130">
        <f>'3.Other Exp &amp; Taxes'!E66</f>
        <v>169238</v>
      </c>
      <c r="E13" s="130">
        <f>'3.Other Exp &amp; Taxes'!F66</f>
        <v>169238</v>
      </c>
      <c r="F13" s="130">
        <f>'3.Other Exp &amp; Taxes'!G66</f>
        <v>169238</v>
      </c>
      <c r="G13" s="130">
        <f>'3.Other Exp &amp; Taxes'!H66</f>
        <v>169238</v>
      </c>
      <c r="H13" s="130">
        <f>'3.Other Exp &amp; Taxes'!I66</f>
        <v>169238</v>
      </c>
      <c r="K13" s="68"/>
      <c r="L13" s="68"/>
      <c r="M13" s="68"/>
      <c r="N13" s="68"/>
      <c r="O13" s="68"/>
      <c r="P13" s="68"/>
      <c r="Q13" s="68"/>
    </row>
    <row r="14" spans="1:18" s="55" customFormat="1">
      <c r="A14" s="125" t="s">
        <v>198</v>
      </c>
      <c r="B14" s="128">
        <f t="shared" ref="B14:H14" si="1">B12-B13</f>
        <v>2730762</v>
      </c>
      <c r="C14" s="128">
        <f t="shared" si="1"/>
        <v>2561524</v>
      </c>
      <c r="D14" s="128">
        <f t="shared" si="1"/>
        <v>2392286</v>
      </c>
      <c r="E14" s="128">
        <f t="shared" si="1"/>
        <v>2223048</v>
      </c>
      <c r="F14" s="128">
        <f t="shared" si="1"/>
        <v>2053810</v>
      </c>
      <c r="G14" s="128">
        <f t="shared" si="1"/>
        <v>1884572</v>
      </c>
      <c r="H14" s="128">
        <f t="shared" si="1"/>
        <v>1715334</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511</v>
      </c>
      <c r="B17" s="128">
        <f>'8.Cash Flow '!C20-'6.Cons Profit &amp; Loss'!B41</f>
        <v>80000</v>
      </c>
      <c r="C17" s="128">
        <f>B17-'6.Cons Profit &amp; Loss'!C41</f>
        <v>60000</v>
      </c>
      <c r="D17" s="128">
        <f>C17-'6.Cons Profit &amp; Loss'!D41</f>
        <v>40000</v>
      </c>
      <c r="E17" s="128">
        <f>D17-'6.Cons Profit &amp; Loss'!E41</f>
        <v>20000</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7329456.3985835761</v>
      </c>
      <c r="C19" s="133">
        <f t="shared" si="2"/>
        <v>8019712.5595123246</v>
      </c>
      <c r="D19" s="133">
        <f t="shared" si="2"/>
        <v>9428108.5645524561</v>
      </c>
      <c r="E19" s="133">
        <f t="shared" si="2"/>
        <v>11627787.412712783</v>
      </c>
      <c r="F19" s="133">
        <f t="shared" si="2"/>
        <v>14696836.178292736</v>
      </c>
      <c r="G19" s="133">
        <f t="shared" si="2"/>
        <v>18733706.775913849</v>
      </c>
      <c r="H19" s="133">
        <f t="shared" si="2"/>
        <v>23812640.471241325</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0</v>
      </c>
      <c r="C27" s="133">
        <f>'4.TL repayment sch'!G33</f>
        <v>0</v>
      </c>
      <c r="D27" s="133">
        <f>'4.TL repayment sch'!G45</f>
        <v>0</v>
      </c>
      <c r="E27" s="133">
        <f>'4.TL repayment sch'!G57</f>
        <v>0</v>
      </c>
      <c r="F27" s="133">
        <f>'4.TL repayment sch'!G69</f>
        <v>0</v>
      </c>
      <c r="G27" s="133">
        <f>'4.TL repayment sch'!G81</f>
        <v>0</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0</v>
      </c>
      <c r="C30" s="133">
        <f t="shared" si="4"/>
        <v>0</v>
      </c>
      <c r="D30" s="133">
        <f t="shared" si="4"/>
        <v>0</v>
      </c>
      <c r="E30" s="133">
        <f t="shared" si="4"/>
        <v>0</v>
      </c>
      <c r="F30" s="133">
        <f t="shared" si="4"/>
        <v>0</v>
      </c>
      <c r="G30" s="133">
        <f t="shared" si="4"/>
        <v>0</v>
      </c>
      <c r="H30" s="133">
        <f t="shared" si="4"/>
        <v>0</v>
      </c>
    </row>
    <row r="31" spans="1:8">
      <c r="A31" s="120"/>
      <c r="B31" s="137"/>
      <c r="C31" s="137"/>
      <c r="D31" s="137"/>
      <c r="E31" s="137"/>
      <c r="F31" s="137"/>
      <c r="G31" s="137"/>
      <c r="H31" s="137"/>
    </row>
    <row r="32" spans="1:8">
      <c r="A32" s="131" t="s">
        <v>265</v>
      </c>
      <c r="B32" s="130">
        <f>'1.Project Cost and MOF'!E22</f>
        <v>6491714.5160978157</v>
      </c>
      <c r="C32" s="130">
        <f>B32</f>
        <v>6491714.5160978157</v>
      </c>
      <c r="D32" s="130">
        <f t="shared" ref="D32:H33" si="5">C32</f>
        <v>6491714.5160978157</v>
      </c>
      <c r="E32" s="130">
        <f t="shared" si="5"/>
        <v>6491714.5160978157</v>
      </c>
      <c r="F32" s="130">
        <f t="shared" si="5"/>
        <v>6491714.5160978157</v>
      </c>
      <c r="G32" s="130">
        <f t="shared" si="5"/>
        <v>6491714.5160978157</v>
      </c>
      <c r="H32" s="130">
        <f t="shared" si="5"/>
        <v>6491714.5160978157</v>
      </c>
    </row>
    <row r="33" spans="1:8">
      <c r="A33" s="131" t="s">
        <v>512</v>
      </c>
      <c r="B33" s="130">
        <f>'1.Project Cost and MOF'!E20</f>
        <v>1800000</v>
      </c>
      <c r="C33" s="130">
        <f>B33</f>
        <v>1800000</v>
      </c>
      <c r="D33" s="130">
        <f t="shared" si="5"/>
        <v>1800000</v>
      </c>
      <c r="E33" s="130">
        <f t="shared" si="5"/>
        <v>1800000</v>
      </c>
      <c r="F33" s="130">
        <f t="shared" si="5"/>
        <v>1800000</v>
      </c>
      <c r="G33" s="130">
        <f t="shared" si="5"/>
        <v>1800000</v>
      </c>
      <c r="H33" s="130">
        <f t="shared" si="5"/>
        <v>1800000</v>
      </c>
    </row>
    <row r="34" spans="1:8">
      <c r="A34" s="125" t="s">
        <v>266</v>
      </c>
      <c r="B34" s="130"/>
      <c r="C34" s="130"/>
      <c r="D34" s="130"/>
      <c r="E34" s="130"/>
      <c r="F34" s="130"/>
      <c r="G34" s="130"/>
      <c r="H34" s="130"/>
    </row>
    <row r="35" spans="1:8">
      <c r="A35" s="131" t="s">
        <v>267</v>
      </c>
      <c r="B35" s="130">
        <v>0</v>
      </c>
      <c r="C35" s="130">
        <f t="shared" ref="C35:H35" si="6">B38</f>
        <v>-962258.11751424125</v>
      </c>
      <c r="D35" s="130">
        <f t="shared" si="6"/>
        <v>-272001.95658548875</v>
      </c>
      <c r="E35" s="130">
        <f t="shared" si="6"/>
        <v>1136394.048454647</v>
      </c>
      <c r="F35" s="130">
        <f t="shared" si="6"/>
        <v>3336072.8966149734</v>
      </c>
      <c r="G35" s="130">
        <f t="shared" si="6"/>
        <v>6405121.6621949254</v>
      </c>
      <c r="H35" s="130">
        <f t="shared" si="6"/>
        <v>10441992.259816045</v>
      </c>
    </row>
    <row r="36" spans="1:8">
      <c r="A36" s="131" t="s">
        <v>268</v>
      </c>
      <c r="B36" s="130">
        <f>'6.Cons Profit &amp; Loss'!B50</f>
        <v>-962258.11751424125</v>
      </c>
      <c r="C36" s="130">
        <f>'6.Cons Profit &amp; Loss'!C49</f>
        <v>690256.16092875251</v>
      </c>
      <c r="D36" s="130">
        <f>'6.Cons Profit &amp; Loss'!D49</f>
        <v>1408396.0050401357</v>
      </c>
      <c r="E36" s="130">
        <f>'6.Cons Profit &amp; Loss'!E49</f>
        <v>2199678.8481603265</v>
      </c>
      <c r="F36" s="130">
        <f>'6.Cons Profit &amp; Loss'!F49</f>
        <v>3069048.7655799519</v>
      </c>
      <c r="G36" s="130">
        <f>'6.Cons Profit &amp; Loss'!G49</f>
        <v>4036870.5976211191</v>
      </c>
      <c r="H36" s="130">
        <f>'6.Cons Profit &amp; Loss'!H49</f>
        <v>5078933.6953274701</v>
      </c>
    </row>
    <row r="37" spans="1:8">
      <c r="A37" s="131" t="s">
        <v>269</v>
      </c>
      <c r="B37" s="130"/>
      <c r="C37" s="130"/>
      <c r="D37" s="130"/>
      <c r="E37" s="130"/>
      <c r="F37" s="130"/>
      <c r="G37" s="130"/>
      <c r="H37" s="130"/>
    </row>
    <row r="38" spans="1:8">
      <c r="A38" s="131" t="s">
        <v>270</v>
      </c>
      <c r="B38" s="130">
        <f t="shared" ref="B38:H38" si="7">B35+B36-B37</f>
        <v>-962258.11751424125</v>
      </c>
      <c r="C38" s="130">
        <f t="shared" si="7"/>
        <v>-272001.95658548875</v>
      </c>
      <c r="D38" s="130">
        <f t="shared" si="7"/>
        <v>1136394.048454647</v>
      </c>
      <c r="E38" s="130">
        <f t="shared" si="7"/>
        <v>3336072.8966149734</v>
      </c>
      <c r="F38" s="130">
        <f t="shared" si="7"/>
        <v>6405121.6621949254</v>
      </c>
      <c r="G38" s="130">
        <f t="shared" si="7"/>
        <v>10441992.259816045</v>
      </c>
      <c r="H38" s="130">
        <f t="shared" si="7"/>
        <v>15520925.955143515</v>
      </c>
    </row>
    <row r="39" spans="1:8">
      <c r="A39" s="131"/>
      <c r="B39" s="135"/>
      <c r="C39" s="135"/>
      <c r="D39" s="135"/>
      <c r="E39" s="135"/>
      <c r="F39" s="135"/>
      <c r="G39" s="135"/>
      <c r="H39" s="135"/>
    </row>
    <row r="40" spans="1:8">
      <c r="A40" s="138" t="s">
        <v>271</v>
      </c>
      <c r="B40" s="139">
        <f t="shared" ref="B40:H40" si="8">B32+B38+B33</f>
        <v>7329456.3985835742</v>
      </c>
      <c r="C40" s="139">
        <f t="shared" si="8"/>
        <v>8019712.5595123265</v>
      </c>
      <c r="D40" s="139">
        <f t="shared" si="8"/>
        <v>9428108.5645524636</v>
      </c>
      <c r="E40" s="139">
        <f t="shared" si="8"/>
        <v>11627787.41271279</v>
      </c>
      <c r="F40" s="139">
        <f t="shared" si="8"/>
        <v>14696836.17829274</v>
      </c>
      <c r="G40" s="139">
        <f t="shared" si="8"/>
        <v>18733706.775913861</v>
      </c>
      <c r="H40" s="139">
        <f t="shared" si="8"/>
        <v>23812640.471241333</v>
      </c>
    </row>
    <row r="41" spans="1:8">
      <c r="A41" s="120"/>
      <c r="B41" s="130"/>
      <c r="C41" s="130"/>
      <c r="D41" s="130"/>
      <c r="E41" s="130"/>
      <c r="F41" s="130"/>
      <c r="G41" s="130"/>
      <c r="H41" s="130"/>
    </row>
    <row r="42" spans="1:8">
      <c r="A42" s="132" t="s">
        <v>272</v>
      </c>
      <c r="B42" s="133">
        <f t="shared" ref="B42:H42" si="9">B30+B40</f>
        <v>7329456.3985835742</v>
      </c>
      <c r="C42" s="133">
        <f t="shared" si="9"/>
        <v>8019712.5595123265</v>
      </c>
      <c r="D42" s="133">
        <f t="shared" si="9"/>
        <v>9428108.5645524636</v>
      </c>
      <c r="E42" s="133">
        <f t="shared" si="9"/>
        <v>11627787.41271279</v>
      </c>
      <c r="F42" s="133">
        <f t="shared" si="9"/>
        <v>14696836.17829274</v>
      </c>
      <c r="G42" s="133">
        <f t="shared" si="9"/>
        <v>18733706.775913861</v>
      </c>
      <c r="H42" s="133">
        <f t="shared" si="9"/>
        <v>23812640.471241333</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0</v>
      </c>
      <c r="F45" s="144">
        <f t="shared" si="10"/>
        <v>0</v>
      </c>
      <c r="G45" s="144">
        <f t="shared" si="10"/>
        <v>0</v>
      </c>
      <c r="H45" s="144">
        <f t="shared" si="10"/>
        <v>0</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48" t="s">
        <v>409</v>
      </c>
      <c r="B49" s="449"/>
      <c r="C49" s="449"/>
      <c r="D49" s="449"/>
      <c r="E49" s="449"/>
      <c r="F49" s="449"/>
      <c r="G49" s="449"/>
      <c r="H49" s="449"/>
      <c r="I49" s="449"/>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activeCell="A12" sqref="A12"/>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30"/>
      <c r="B1" s="430"/>
      <c r="C1" s="430"/>
      <c r="D1" s="430"/>
      <c r="E1" s="430"/>
      <c r="F1" s="430"/>
      <c r="G1" s="430"/>
    </row>
    <row r="2" spans="1:10" ht="18.75">
      <c r="A2" s="416" t="s">
        <v>707</v>
      </c>
      <c r="B2" s="416"/>
      <c r="C2" s="416"/>
      <c r="D2" s="416"/>
      <c r="E2" s="416"/>
      <c r="F2" s="416"/>
      <c r="G2" s="416"/>
      <c r="H2" s="416"/>
      <c r="I2" s="416"/>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14236609.371599998</v>
      </c>
      <c r="D6" s="41">
        <f>'6.Cons Profit &amp; Loss'!C13</f>
        <v>27154465.186589994</v>
      </c>
      <c r="E6" s="41">
        <f>'6.Cons Profit &amp; Loss'!D13</f>
        <v>33039959.020676993</v>
      </c>
      <c r="F6" s="41">
        <f>'6.Cons Profit &amp; Loss'!E13</f>
        <v>39446116.07520622</v>
      </c>
      <c r="G6" s="41">
        <f>'6.Cons Profit &amp; Loss'!F13</f>
        <v>46410288.937636688</v>
      </c>
      <c r="H6" s="41">
        <f>'6.Cons Profit &amp; Loss'!G13</f>
        <v>53972263.796122171</v>
      </c>
      <c r="I6" s="41">
        <f>'6.Cons Profit &amp; Loss'!H13</f>
        <v>62174410.418112122</v>
      </c>
    </row>
    <row r="7" spans="1:10">
      <c r="A7" s="40">
        <v>2</v>
      </c>
      <c r="B7" s="40" t="s">
        <v>231</v>
      </c>
      <c r="C7" s="41">
        <f>'1.Project Cost and MOF'!E22</f>
        <v>6491714.5160978157</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1800000</v>
      </c>
      <c r="D9" s="41"/>
      <c r="E9" s="41"/>
      <c r="F9" s="41"/>
      <c r="G9" s="41"/>
      <c r="H9" s="41"/>
      <c r="I9" s="41"/>
    </row>
    <row r="10" spans="1:10">
      <c r="A10" s="40">
        <v>4</v>
      </c>
      <c r="B10" s="40" t="s">
        <v>232</v>
      </c>
      <c r="C10" s="41">
        <f>'1.Project Cost and MOF'!E21</f>
        <v>0</v>
      </c>
      <c r="D10" s="41"/>
      <c r="E10" s="41"/>
      <c r="F10" s="41"/>
      <c r="G10" s="41"/>
      <c r="H10" s="41"/>
      <c r="I10" s="41"/>
    </row>
    <row r="11" spans="1:10">
      <c r="A11" s="40">
        <v>5</v>
      </c>
      <c r="B11" s="40" t="s">
        <v>233</v>
      </c>
      <c r="C11" s="41">
        <f>'5.Closing Stock &amp; W Capital'!E50*75%</f>
        <v>6105824.4416513257</v>
      </c>
      <c r="D11" s="41">
        <f>'5.Closing Stock &amp; W Capital'!F50</f>
        <v>10475549.649499044</v>
      </c>
      <c r="E11" s="41">
        <f>'5.Closing Stock &amp; W Capital'!G50</f>
        <v>12608765.485320371</v>
      </c>
      <c r="F11" s="41">
        <f>'5.Closing Stock &amp; W Capital'!H50</f>
        <v>14929114.03060009</v>
      </c>
      <c r="G11" s="41">
        <f>'5.Closing Stock &amp; W Capital'!I50</f>
        <v>17449975.516694479</v>
      </c>
      <c r="H11" s="41">
        <f>'5.Closing Stock &amp; W Capital'!J50</f>
        <v>20185600.366321802</v>
      </c>
      <c r="I11" s="41">
        <f>'5.Closing Stock &amp; W Capital'!K50</f>
        <v>23151162.762120117</v>
      </c>
    </row>
    <row r="12" spans="1:10">
      <c r="A12" s="40"/>
      <c r="B12" s="40" t="s">
        <v>234</v>
      </c>
      <c r="C12" s="43">
        <f t="shared" ref="C12:I12" si="0">SUM(C6:C11)</f>
        <v>28634148.329349142</v>
      </c>
      <c r="D12" s="43">
        <f t="shared" si="0"/>
        <v>37630014.836089037</v>
      </c>
      <c r="E12" s="43">
        <f t="shared" si="0"/>
        <v>45648724.50599736</v>
      </c>
      <c r="F12" s="43">
        <f t="shared" si="0"/>
        <v>54375230.105806306</v>
      </c>
      <c r="G12" s="43">
        <f t="shared" si="0"/>
        <v>63860264.454331167</v>
      </c>
      <c r="H12" s="43">
        <f t="shared" si="0"/>
        <v>74157864.162443966</v>
      </c>
      <c r="I12" s="43">
        <f t="shared" si="0"/>
        <v>85325573.180232242</v>
      </c>
    </row>
    <row r="13" spans="1:10">
      <c r="A13" s="450" t="s">
        <v>235</v>
      </c>
      <c r="B13" s="450"/>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500000</v>
      </c>
      <c r="D15" s="46"/>
      <c r="E15" s="46"/>
      <c r="F15" s="46"/>
      <c r="G15" s="46"/>
      <c r="H15" s="46"/>
      <c r="I15" s="46"/>
    </row>
    <row r="16" spans="1:10">
      <c r="A16" s="45" t="s">
        <v>238</v>
      </c>
      <c r="B16" s="47" t="str">
        <f>'[1]Total Cost of Project'!C4</f>
        <v>Machinery and Equipment</v>
      </c>
      <c r="C16" s="46">
        <f>'1.Project Cost and MOF'!D7</f>
        <v>2360000</v>
      </c>
      <c r="D16" s="46"/>
      <c r="E16" s="46"/>
      <c r="F16" s="46"/>
      <c r="G16" s="46"/>
      <c r="H16" s="46"/>
      <c r="I16" s="46"/>
    </row>
    <row r="17" spans="1:9">
      <c r="A17" s="45" t="s">
        <v>275</v>
      </c>
      <c r="B17" s="47" t="s">
        <v>330</v>
      </c>
      <c r="C17" s="46">
        <f>'1.Project Cost and MOF'!D8</f>
        <v>20000</v>
      </c>
      <c r="D17" s="46"/>
      <c r="E17" s="46"/>
      <c r="F17" s="46"/>
      <c r="G17" s="46"/>
      <c r="H17" s="46"/>
      <c r="I17" s="46"/>
    </row>
    <row r="18" spans="1:9">
      <c r="A18" s="45" t="s">
        <v>277</v>
      </c>
      <c r="B18" s="47" t="s">
        <v>332</v>
      </c>
      <c r="C18" s="46">
        <f>'1.Project Cost and MOF'!D9</f>
        <v>20000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100000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11299270.595287494</v>
      </c>
      <c r="D22" s="73">
        <f>'6.Cons Profit &amp; Loss'!C23</f>
        <v>21299907.014078438</v>
      </c>
      <c r="E22" s="73">
        <f>'6.Cons Profit &amp; Loss'!D23</f>
        <v>25777200.155718368</v>
      </c>
      <c r="F22" s="73">
        <f>'6.Cons Profit &amp; Loss'!E23</f>
        <v>30648972.843987104</v>
      </c>
      <c r="G22" s="73">
        <f>'6.Cons Profit &amp; Loss'!F23</f>
        <v>35943479.800693415</v>
      </c>
      <c r="H22" s="73">
        <f>'6.Cons Profit &amp; Loss'!G23</f>
        <v>41690815.020960398</v>
      </c>
      <c r="I22" s="73">
        <f>'6.Cons Profit &amp; Loss'!H23</f>
        <v>47923025.063752331</v>
      </c>
    </row>
    <row r="23" spans="1:9">
      <c r="A23" s="45" t="s">
        <v>238</v>
      </c>
      <c r="B23" s="44" t="s">
        <v>310</v>
      </c>
      <c r="C23" s="41">
        <f>'6.Cons Profit &amp; Loss'!B34</f>
        <v>3380000</v>
      </c>
      <c r="D23" s="41">
        <f>'6.Cons Profit &amp; Loss'!C34</f>
        <v>3549000</v>
      </c>
      <c r="E23" s="41">
        <f>'6.Cons Profit &amp; Loss'!D34</f>
        <v>3726450</v>
      </c>
      <c r="F23" s="41">
        <f>'6.Cons Profit &amp; Loss'!E34</f>
        <v>3912772.5000000009</v>
      </c>
      <c r="G23" s="41">
        <f>'6.Cons Profit &amp; Loss'!F34</f>
        <v>4108411.1250000009</v>
      </c>
      <c r="H23" s="41">
        <f>'6.Cons Profit &amp; Loss'!G34</f>
        <v>4313831.6812500004</v>
      </c>
      <c r="I23" s="41">
        <f>'6.Cons Profit &amp; Loss'!H34</f>
        <v>4529523.2653125012</v>
      </c>
    </row>
    <row r="24" spans="1:9">
      <c r="A24" s="48">
        <v>3</v>
      </c>
      <c r="B24" s="40" t="s">
        <v>510</v>
      </c>
      <c r="C24" s="41"/>
      <c r="D24" s="41"/>
      <c r="E24" s="41"/>
      <c r="F24" s="41"/>
      <c r="G24" s="41"/>
      <c r="H24" s="41"/>
      <c r="I24" s="41"/>
    </row>
    <row r="25" spans="1:9">
      <c r="A25" s="45"/>
      <c r="B25" s="44" t="s">
        <v>240</v>
      </c>
      <c r="C25" s="41">
        <f>SUM('4.TL repayment sch'!E10:E21)</f>
        <v>0</v>
      </c>
      <c r="D25" s="41">
        <f>SUM('4.TL repayment sch'!E22:E33)</f>
        <v>0</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241</v>
      </c>
      <c r="C26" s="41">
        <f>SUM('4.TL repayment sch'!D10:D21)</f>
        <v>0</v>
      </c>
      <c r="D26" s="41">
        <f>SUM('4.TL repayment sch'!D22:D33)</f>
        <v>0</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242</v>
      </c>
      <c r="C27" s="41">
        <f t="shared" ref="C27:I27" si="1">C11</f>
        <v>6105824.4416513257</v>
      </c>
      <c r="D27" s="41">
        <f t="shared" si="1"/>
        <v>10475549.649499044</v>
      </c>
      <c r="E27" s="41">
        <f t="shared" si="1"/>
        <v>12608765.485320371</v>
      </c>
      <c r="F27" s="41">
        <f t="shared" si="1"/>
        <v>14929114.03060009</v>
      </c>
      <c r="G27" s="41">
        <f t="shared" si="1"/>
        <v>17449975.516694479</v>
      </c>
      <c r="H27" s="41">
        <f t="shared" si="1"/>
        <v>20185600.366321802</v>
      </c>
      <c r="I27" s="41">
        <f t="shared" si="1"/>
        <v>23151162.762120117</v>
      </c>
    </row>
    <row r="28" spans="1:9">
      <c r="A28" s="45"/>
      <c r="B28" s="44" t="s">
        <v>243</v>
      </c>
      <c r="C28" s="49">
        <f>C27*12%</f>
        <v>732698.93299815909</v>
      </c>
      <c r="D28" s="49">
        <f t="shared" ref="D28:G28" si="2">D27*12%</f>
        <v>1257065.9579398853</v>
      </c>
      <c r="E28" s="49">
        <f t="shared" si="2"/>
        <v>1513051.8582384444</v>
      </c>
      <c r="F28" s="49">
        <f t="shared" si="2"/>
        <v>1791493.6836720107</v>
      </c>
      <c r="G28" s="49">
        <f t="shared" si="2"/>
        <v>2093997.0620033373</v>
      </c>
      <c r="H28" s="49">
        <f t="shared" ref="H28:I28" si="3">H27*12%</f>
        <v>2422272.043958616</v>
      </c>
      <c r="I28" s="49">
        <f t="shared" si="3"/>
        <v>2778139.5314544137</v>
      </c>
    </row>
    <row r="29" spans="1:9">
      <c r="A29" s="40">
        <v>4</v>
      </c>
      <c r="B29" s="40" t="s">
        <v>244</v>
      </c>
      <c r="C29" s="41">
        <f>'6.Cons Profit &amp; Loss'!B48</f>
        <v>-402340.03917141375</v>
      </c>
      <c r="D29" s="41">
        <f>'6.Cons Profit &amp; Loss'!C48</f>
        <v>168998.05364291748</v>
      </c>
      <c r="E29" s="41">
        <f>'6.Cons Profit &amp; Loss'!D48</f>
        <v>425623.00168004521</v>
      </c>
      <c r="F29" s="41">
        <f>'6.Cons Profit &amp; Loss'!E48</f>
        <v>703960.19938677549</v>
      </c>
      <c r="G29" s="41">
        <f>'6.Cons Profit &amp; Loss'!F48</f>
        <v>1006114.1843599841</v>
      </c>
      <c r="H29" s="41">
        <f>'6.Cons Profit &amp; Loss'!G48</f>
        <v>1339236.4523320398</v>
      </c>
      <c r="I29" s="41">
        <f>'6.Cons Profit &amp; Loss'!H48</f>
        <v>1695550.8622654066</v>
      </c>
    </row>
    <row r="30" spans="1:9">
      <c r="A30" s="40"/>
      <c r="B30" s="40" t="s">
        <v>245</v>
      </c>
      <c r="C30" s="50">
        <f t="shared" ref="C30:I30" si="4">SUM(C15:C29)</f>
        <v>24115453.930765565</v>
      </c>
      <c r="D30" s="50">
        <f t="shared" si="4"/>
        <v>36750520.675160289</v>
      </c>
      <c r="E30" s="50">
        <f t="shared" si="4"/>
        <v>44051090.500957228</v>
      </c>
      <c r="F30" s="50">
        <f t="shared" si="4"/>
        <v>51986313.25764598</v>
      </c>
      <c r="G30" s="50">
        <f t="shared" si="4"/>
        <v>60601977.688751213</v>
      </c>
      <c r="H30" s="50">
        <f t="shared" si="4"/>
        <v>69951755.564822853</v>
      </c>
      <c r="I30" s="50">
        <f t="shared" si="4"/>
        <v>80077401.484904766</v>
      </c>
    </row>
    <row r="31" spans="1:9">
      <c r="A31" s="40"/>
      <c r="B31" s="40" t="s">
        <v>246</v>
      </c>
      <c r="C31" s="50">
        <f t="shared" ref="C31:I31" si="5">C12-C30</f>
        <v>4518694.3985835761</v>
      </c>
      <c r="D31" s="50">
        <f t="shared" si="5"/>
        <v>879494.16092874855</v>
      </c>
      <c r="E31" s="50">
        <f t="shared" si="5"/>
        <v>1597634.0050401315</v>
      </c>
      <c r="F31" s="50">
        <f t="shared" si="5"/>
        <v>2388916.8481603265</v>
      </c>
      <c r="G31" s="50">
        <f t="shared" si="5"/>
        <v>3258286.7655799538</v>
      </c>
      <c r="H31" s="50">
        <f t="shared" si="5"/>
        <v>4206108.5976211131</v>
      </c>
      <c r="I31" s="50">
        <f t="shared" si="5"/>
        <v>5248171.6953274757</v>
      </c>
    </row>
    <row r="32" spans="1:9">
      <c r="A32" s="48"/>
      <c r="B32" s="44" t="s">
        <v>247</v>
      </c>
      <c r="C32" s="44"/>
      <c r="D32" s="51">
        <f t="shared" ref="D32:I32" si="6">C33</f>
        <v>4518694.3985835761</v>
      </c>
      <c r="E32" s="51">
        <f t="shared" si="6"/>
        <v>5398188.5595123246</v>
      </c>
      <c r="F32" s="51">
        <f t="shared" si="6"/>
        <v>6995822.5645524561</v>
      </c>
      <c r="G32" s="51">
        <f t="shared" si="6"/>
        <v>9384739.4127127826</v>
      </c>
      <c r="H32" s="51">
        <f t="shared" si="6"/>
        <v>12643026.178292736</v>
      </c>
      <c r="I32" s="51">
        <f t="shared" si="6"/>
        <v>16849134.775913849</v>
      </c>
    </row>
    <row r="33" spans="1:10">
      <c r="A33" s="40"/>
      <c r="B33" s="52" t="s">
        <v>248</v>
      </c>
      <c r="C33" s="50">
        <f t="shared" ref="C33:I33" si="7">C31+C32</f>
        <v>4518694.3985835761</v>
      </c>
      <c r="D33" s="50">
        <f t="shared" si="7"/>
        <v>5398188.5595123246</v>
      </c>
      <c r="E33" s="50">
        <f t="shared" si="7"/>
        <v>6995822.5645524561</v>
      </c>
      <c r="F33" s="50">
        <f t="shared" si="7"/>
        <v>9384739.4127127826</v>
      </c>
      <c r="G33" s="50">
        <f t="shared" si="7"/>
        <v>12643026.178292736</v>
      </c>
      <c r="H33" s="50">
        <f t="shared" si="7"/>
        <v>16849134.775913849</v>
      </c>
      <c r="I33" s="50">
        <f t="shared" si="7"/>
        <v>22097306.471241325</v>
      </c>
    </row>
    <row r="35" spans="1:10" ht="39.950000000000003" customHeight="1">
      <c r="A35" s="451" t="s">
        <v>410</v>
      </c>
      <c r="B35" s="451"/>
      <c r="C35" s="451"/>
      <c r="D35" s="451"/>
      <c r="E35" s="451"/>
      <c r="F35" s="451"/>
      <c r="G35" s="451"/>
      <c r="H35" s="451"/>
      <c r="I35" s="451"/>
      <c r="J35" s="451"/>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2022-05-24T07:54:19Z</dcterms:modified>
</cp:coreProperties>
</file>